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checkCompatibility="1"/>
  <bookViews>
    <workbookView xWindow="360" yWindow="120" windowWidth="14220" windowHeight="8835" tabRatio="778" activeTab="6"/>
  </bookViews>
  <sheets>
    <sheet name="Pirmpienes" sheetId="1" r:id="rId1"/>
    <sheet name="Pirmpienes (2)" sheetId="119" r:id="rId2"/>
    <sheet name="Pirmpienes (3)" sheetId="120" r:id="rId3"/>
    <sheet name="Slauc govis" sheetId="2" r:id="rId4"/>
    <sheet name="Slauc govis (2)" sheetId="121" r:id="rId5"/>
    <sheet name="Slauc govis (3)" sheetId="122" r:id="rId6"/>
    <sheet name="Slauc govis (4)" sheetId="123" r:id="rId7"/>
  </sheets>
  <calcPr calcId="162913"/>
</workbook>
</file>

<file path=xl/calcChain.xml><?xml version="1.0" encoding="utf-8"?>
<calcChain xmlns="http://schemas.openxmlformats.org/spreadsheetml/2006/main">
  <c r="I2" i="123" l="1"/>
  <c r="Y2" i="123"/>
  <c r="N6" i="123" l="1"/>
  <c r="AO5" i="123"/>
  <c r="AK5" i="123"/>
  <c r="U5" i="123"/>
  <c r="E5" i="123"/>
  <c r="AS4" i="123"/>
  <c r="AS5" i="123" s="1"/>
  <c r="AR4" i="123"/>
  <c r="AR5" i="123" s="1"/>
  <c r="AQ4" i="123"/>
  <c r="AQ5" i="123" s="1"/>
  <c r="AP4" i="123"/>
  <c r="AP5" i="123" s="1"/>
  <c r="AO4" i="123"/>
  <c r="AN4" i="123"/>
  <c r="AN5" i="123" s="1"/>
  <c r="AM4" i="123"/>
  <c r="AM5" i="123" s="1"/>
  <c r="AL4" i="123"/>
  <c r="AL5" i="123" s="1"/>
  <c r="AK4" i="123"/>
  <c r="AJ4" i="123"/>
  <c r="AJ5" i="123" s="1"/>
  <c r="AI4" i="123"/>
  <c r="AI5" i="123" s="1"/>
  <c r="AH4" i="123"/>
  <c r="AH5" i="123" s="1"/>
  <c r="AG4" i="123"/>
  <c r="AG5" i="123" s="1"/>
  <c r="AF4" i="123"/>
  <c r="AF5" i="123" s="1"/>
  <c r="AE4" i="123"/>
  <c r="AE5" i="123" s="1"/>
  <c r="AD4" i="123"/>
  <c r="AD5" i="123" s="1"/>
  <c r="AC4" i="123"/>
  <c r="AC5" i="123" s="1"/>
  <c r="AB4" i="123"/>
  <c r="AB5" i="123" s="1"/>
  <c r="AA4" i="123"/>
  <c r="AA5" i="123" s="1"/>
  <c r="Z4" i="123"/>
  <c r="Z5" i="123" s="1"/>
  <c r="Y4" i="123"/>
  <c r="Y5" i="123" s="1"/>
  <c r="X4" i="123"/>
  <c r="X5" i="123" s="1"/>
  <c r="W4" i="123"/>
  <c r="W5" i="123" s="1"/>
  <c r="V4" i="123"/>
  <c r="V5" i="123" s="1"/>
  <c r="U4" i="123"/>
  <c r="T4" i="123"/>
  <c r="T5" i="123" s="1"/>
  <c r="S4" i="123"/>
  <c r="S5" i="123" s="1"/>
  <c r="R4" i="123"/>
  <c r="R5" i="123" s="1"/>
  <c r="Q4" i="123"/>
  <c r="Q5" i="123" s="1"/>
  <c r="P4" i="123"/>
  <c r="P5" i="123" s="1"/>
  <c r="O4" i="123"/>
  <c r="O5" i="123" s="1"/>
  <c r="N4" i="123"/>
  <c r="N5" i="123" s="1"/>
  <c r="M4" i="123"/>
  <c r="M5" i="123" s="1"/>
  <c r="L4" i="123"/>
  <c r="L5" i="123" s="1"/>
  <c r="K4" i="123"/>
  <c r="K5" i="123" s="1"/>
  <c r="J4" i="123"/>
  <c r="J5" i="123" s="1"/>
  <c r="I4" i="123"/>
  <c r="I5" i="123" s="1"/>
  <c r="H4" i="123"/>
  <c r="H5" i="123" s="1"/>
  <c r="G4" i="123"/>
  <c r="G5" i="123" s="1"/>
  <c r="F4" i="123"/>
  <c r="F5" i="123" s="1"/>
  <c r="E4" i="123"/>
  <c r="D4" i="123"/>
  <c r="D5" i="123" s="1"/>
  <c r="AS2" i="123"/>
  <c r="AO2" i="123"/>
  <c r="AC2" i="123"/>
  <c r="M2" i="123"/>
  <c r="C2" i="123"/>
  <c r="AR2" i="123" s="1"/>
  <c r="B2" i="123"/>
  <c r="N6" i="122"/>
  <c r="AS4" i="122"/>
  <c r="AS5" i="122" s="1"/>
  <c r="AR4" i="122"/>
  <c r="AR5" i="122" s="1"/>
  <c r="AQ4" i="122"/>
  <c r="AQ5" i="122" s="1"/>
  <c r="AP4" i="122"/>
  <c r="AP5" i="122" s="1"/>
  <c r="AO4" i="122"/>
  <c r="AO5" i="122" s="1"/>
  <c r="AN4" i="122"/>
  <c r="AN5" i="122" s="1"/>
  <c r="AM4" i="122"/>
  <c r="AM5" i="122" s="1"/>
  <c r="AL4" i="122"/>
  <c r="AL5" i="122" s="1"/>
  <c r="AK4" i="122"/>
  <c r="AK5" i="122" s="1"/>
  <c r="AJ4" i="122"/>
  <c r="AJ5" i="122" s="1"/>
  <c r="AI4" i="122"/>
  <c r="AI5" i="122" s="1"/>
  <c r="AH4" i="122"/>
  <c r="AH5" i="122" s="1"/>
  <c r="AG4" i="122"/>
  <c r="AG5" i="122" s="1"/>
  <c r="AF4" i="122"/>
  <c r="AF5" i="122" s="1"/>
  <c r="AE4" i="122"/>
  <c r="AE5" i="122" s="1"/>
  <c r="AD4" i="122"/>
  <c r="AD5" i="122" s="1"/>
  <c r="AC4" i="122"/>
  <c r="AC5" i="122" s="1"/>
  <c r="AB4" i="122"/>
  <c r="AB5" i="122" s="1"/>
  <c r="AA4" i="122"/>
  <c r="AA5" i="122" s="1"/>
  <c r="Z4" i="122"/>
  <c r="Z5" i="122" s="1"/>
  <c r="Y4" i="122"/>
  <c r="Y5" i="122" s="1"/>
  <c r="X4" i="122"/>
  <c r="X5" i="122" s="1"/>
  <c r="W4" i="122"/>
  <c r="W5" i="122" s="1"/>
  <c r="V4" i="122"/>
  <c r="V5" i="122" s="1"/>
  <c r="U4" i="122"/>
  <c r="U5" i="122" s="1"/>
  <c r="T4" i="122"/>
  <c r="T5" i="122" s="1"/>
  <c r="S4" i="122"/>
  <c r="S5" i="122" s="1"/>
  <c r="R4" i="122"/>
  <c r="R5" i="122" s="1"/>
  <c r="Q4" i="122"/>
  <c r="Q5" i="122" s="1"/>
  <c r="P4" i="122"/>
  <c r="P5" i="122" s="1"/>
  <c r="O4" i="122"/>
  <c r="O5" i="122" s="1"/>
  <c r="N4" i="122"/>
  <c r="N5" i="122" s="1"/>
  <c r="M4" i="122"/>
  <c r="M5" i="122" s="1"/>
  <c r="L4" i="122"/>
  <c r="L5" i="122" s="1"/>
  <c r="K4" i="122"/>
  <c r="K5" i="122" s="1"/>
  <c r="J4" i="122"/>
  <c r="J5" i="122" s="1"/>
  <c r="I4" i="122"/>
  <c r="I5" i="122" s="1"/>
  <c r="H4" i="122"/>
  <c r="H5" i="122" s="1"/>
  <c r="G4" i="122"/>
  <c r="G5" i="122" s="1"/>
  <c r="F4" i="122"/>
  <c r="F5" i="122" s="1"/>
  <c r="E4" i="122"/>
  <c r="E5" i="122" s="1"/>
  <c r="D4" i="122"/>
  <c r="D5" i="122" s="1"/>
  <c r="AO2" i="122"/>
  <c r="AK2" i="122"/>
  <c r="Y2" i="122"/>
  <c r="U2" i="122"/>
  <c r="I2" i="122"/>
  <c r="E2" i="122"/>
  <c r="C2" i="122"/>
  <c r="AR2" i="122" s="1"/>
  <c r="B2" i="122"/>
  <c r="N6" i="121"/>
  <c r="AS5" i="121"/>
  <c r="AC5" i="121"/>
  <c r="M5" i="121"/>
  <c r="AS4" i="121"/>
  <c r="AR4" i="121"/>
  <c r="AR5" i="121" s="1"/>
  <c r="AQ4" i="121"/>
  <c r="AQ5" i="121" s="1"/>
  <c r="AP4" i="121"/>
  <c r="AP5" i="121" s="1"/>
  <c r="AO4" i="121"/>
  <c r="AO5" i="121" s="1"/>
  <c r="AN4" i="121"/>
  <c r="AN5" i="121" s="1"/>
  <c r="AM4" i="121"/>
  <c r="AM5" i="121" s="1"/>
  <c r="AL4" i="121"/>
  <c r="AL5" i="121" s="1"/>
  <c r="AK4" i="121"/>
  <c r="AK5" i="121" s="1"/>
  <c r="AJ4" i="121"/>
  <c r="AJ5" i="121" s="1"/>
  <c r="AI4" i="121"/>
  <c r="AI5" i="121" s="1"/>
  <c r="AH4" i="121"/>
  <c r="AH5" i="121" s="1"/>
  <c r="AG4" i="121"/>
  <c r="AG5" i="121" s="1"/>
  <c r="AF4" i="121"/>
  <c r="AF5" i="121" s="1"/>
  <c r="AE4" i="121"/>
  <c r="AE5" i="121" s="1"/>
  <c r="AD4" i="121"/>
  <c r="AD5" i="121" s="1"/>
  <c r="AC4" i="121"/>
  <c r="AB4" i="121"/>
  <c r="AB5" i="121" s="1"/>
  <c r="AA4" i="121"/>
  <c r="AA5" i="121" s="1"/>
  <c r="Z4" i="121"/>
  <c r="Z5" i="121" s="1"/>
  <c r="Y4" i="121"/>
  <c r="Y5" i="121" s="1"/>
  <c r="X4" i="121"/>
  <c r="X5" i="121" s="1"/>
  <c r="W4" i="121"/>
  <c r="W5" i="121" s="1"/>
  <c r="V4" i="121"/>
  <c r="V5" i="121" s="1"/>
  <c r="U4" i="121"/>
  <c r="U5" i="121" s="1"/>
  <c r="T4" i="121"/>
  <c r="T5" i="121" s="1"/>
  <c r="S4" i="121"/>
  <c r="S5" i="121" s="1"/>
  <c r="R4" i="121"/>
  <c r="R5" i="121" s="1"/>
  <c r="Q4" i="121"/>
  <c r="Q5" i="121" s="1"/>
  <c r="P4" i="121"/>
  <c r="P5" i="121" s="1"/>
  <c r="O4" i="121"/>
  <c r="O5" i="121" s="1"/>
  <c r="N4" i="121"/>
  <c r="N5" i="121" s="1"/>
  <c r="M4" i="121"/>
  <c r="L4" i="121"/>
  <c r="L5" i="121" s="1"/>
  <c r="K4" i="121"/>
  <c r="K5" i="121" s="1"/>
  <c r="J4" i="121"/>
  <c r="J5" i="121" s="1"/>
  <c r="I4" i="121"/>
  <c r="I5" i="121" s="1"/>
  <c r="H4" i="121"/>
  <c r="H5" i="121" s="1"/>
  <c r="G4" i="121"/>
  <c r="G5" i="121" s="1"/>
  <c r="F4" i="121"/>
  <c r="F5" i="121" s="1"/>
  <c r="E4" i="121"/>
  <c r="E5" i="121" s="1"/>
  <c r="D4" i="121"/>
  <c r="D5" i="121" s="1"/>
  <c r="C2" i="121"/>
  <c r="AR2" i="121" s="1"/>
  <c r="B2" i="121"/>
  <c r="C2" i="119"/>
  <c r="D2" i="119" s="1"/>
  <c r="N6" i="120"/>
  <c r="AO5" i="120"/>
  <c r="AS4" i="120"/>
  <c r="AS5" i="120" s="1"/>
  <c r="AR4" i="120"/>
  <c r="AR5" i="120" s="1"/>
  <c r="AQ4" i="120"/>
  <c r="AQ5" i="120" s="1"/>
  <c r="AP4" i="120"/>
  <c r="AP5" i="120" s="1"/>
  <c r="AO4" i="120"/>
  <c r="AN4" i="120"/>
  <c r="AN5" i="120" s="1"/>
  <c r="AM4" i="120"/>
  <c r="AM5" i="120" s="1"/>
  <c r="AL4" i="120"/>
  <c r="AL5" i="120" s="1"/>
  <c r="AK4" i="120"/>
  <c r="AK5" i="120" s="1"/>
  <c r="AJ4" i="120"/>
  <c r="AJ5" i="120" s="1"/>
  <c r="AI4" i="120"/>
  <c r="AI5" i="120" s="1"/>
  <c r="AH4" i="120"/>
  <c r="AH5" i="120" s="1"/>
  <c r="AG4" i="120"/>
  <c r="AG5" i="120" s="1"/>
  <c r="AF4" i="120"/>
  <c r="AF5" i="120" s="1"/>
  <c r="AE4" i="120"/>
  <c r="AE5" i="120" s="1"/>
  <c r="AD4" i="120"/>
  <c r="AD5" i="120" s="1"/>
  <c r="AC4" i="120"/>
  <c r="AC5" i="120" s="1"/>
  <c r="AB4" i="120"/>
  <c r="AB5" i="120" s="1"/>
  <c r="AA4" i="120"/>
  <c r="AA5" i="120" s="1"/>
  <c r="Z4" i="120"/>
  <c r="Z5" i="120" s="1"/>
  <c r="Y4" i="120"/>
  <c r="Y5" i="120" s="1"/>
  <c r="X4" i="120"/>
  <c r="X5" i="120" s="1"/>
  <c r="W4" i="120"/>
  <c r="W5" i="120" s="1"/>
  <c r="V4" i="120"/>
  <c r="V5" i="120" s="1"/>
  <c r="U4" i="120"/>
  <c r="U5" i="120" s="1"/>
  <c r="T4" i="120"/>
  <c r="T5" i="120" s="1"/>
  <c r="S4" i="120"/>
  <c r="S5" i="120" s="1"/>
  <c r="R4" i="120"/>
  <c r="R5" i="120" s="1"/>
  <c r="Q4" i="120"/>
  <c r="Q5" i="120" s="1"/>
  <c r="P4" i="120"/>
  <c r="P5" i="120" s="1"/>
  <c r="O4" i="120"/>
  <c r="O5" i="120" s="1"/>
  <c r="N4" i="120"/>
  <c r="N5" i="120" s="1"/>
  <c r="M4" i="120"/>
  <c r="M5" i="120" s="1"/>
  <c r="L4" i="120"/>
  <c r="L5" i="120" s="1"/>
  <c r="K4" i="120"/>
  <c r="K5" i="120" s="1"/>
  <c r="J4" i="120"/>
  <c r="J5" i="120" s="1"/>
  <c r="I4" i="120"/>
  <c r="I5" i="120" s="1"/>
  <c r="H4" i="120"/>
  <c r="H5" i="120" s="1"/>
  <c r="G4" i="120"/>
  <c r="G5" i="120" s="1"/>
  <c r="F4" i="120"/>
  <c r="F5" i="120" s="1"/>
  <c r="E4" i="120"/>
  <c r="E5" i="120" s="1"/>
  <c r="D4" i="120"/>
  <c r="D5" i="120" s="1"/>
  <c r="Y2" i="120"/>
  <c r="C2" i="120"/>
  <c r="AR2" i="120" s="1"/>
  <c r="B2" i="120"/>
  <c r="N6" i="119"/>
  <c r="AS4" i="119"/>
  <c r="AS5" i="119" s="1"/>
  <c r="AR4" i="119"/>
  <c r="AR5" i="119" s="1"/>
  <c r="AQ4" i="119"/>
  <c r="AQ5" i="119" s="1"/>
  <c r="AP4" i="119"/>
  <c r="AP5" i="119" s="1"/>
  <c r="AO4" i="119"/>
  <c r="AO5" i="119" s="1"/>
  <c r="AN4" i="119"/>
  <c r="AN5" i="119" s="1"/>
  <c r="AM4" i="119"/>
  <c r="AM5" i="119" s="1"/>
  <c r="AL4" i="119"/>
  <c r="AL5" i="119" s="1"/>
  <c r="AK4" i="119"/>
  <c r="AK5" i="119" s="1"/>
  <c r="AJ4" i="119"/>
  <c r="AJ5" i="119" s="1"/>
  <c r="AI4" i="119"/>
  <c r="AI5" i="119" s="1"/>
  <c r="AH4" i="119"/>
  <c r="AH5" i="119" s="1"/>
  <c r="AG4" i="119"/>
  <c r="AG5" i="119" s="1"/>
  <c r="AF4" i="119"/>
  <c r="AF5" i="119" s="1"/>
  <c r="AE4" i="119"/>
  <c r="AE5" i="119" s="1"/>
  <c r="AD4" i="119"/>
  <c r="AD5" i="119" s="1"/>
  <c r="AC4" i="119"/>
  <c r="AC5" i="119" s="1"/>
  <c r="AB4" i="119"/>
  <c r="AB5" i="119" s="1"/>
  <c r="AA4" i="119"/>
  <c r="AA5" i="119" s="1"/>
  <c r="Z4" i="119"/>
  <c r="Z5" i="119" s="1"/>
  <c r="Y4" i="119"/>
  <c r="Y5" i="119" s="1"/>
  <c r="X4" i="119"/>
  <c r="X5" i="119" s="1"/>
  <c r="W4" i="119"/>
  <c r="W5" i="119" s="1"/>
  <c r="V4" i="119"/>
  <c r="V5" i="119" s="1"/>
  <c r="U4" i="119"/>
  <c r="U5" i="119" s="1"/>
  <c r="T4" i="119"/>
  <c r="T5" i="119" s="1"/>
  <c r="S4" i="119"/>
  <c r="S5" i="119" s="1"/>
  <c r="R4" i="119"/>
  <c r="R5" i="119" s="1"/>
  <c r="Q4" i="119"/>
  <c r="Q5" i="119" s="1"/>
  <c r="P4" i="119"/>
  <c r="P5" i="119" s="1"/>
  <c r="O4" i="119"/>
  <c r="O5" i="119" s="1"/>
  <c r="N4" i="119"/>
  <c r="N5" i="119" s="1"/>
  <c r="M4" i="119"/>
  <c r="M5" i="119" s="1"/>
  <c r="L4" i="119"/>
  <c r="L5" i="119" s="1"/>
  <c r="K4" i="119"/>
  <c r="K5" i="119" s="1"/>
  <c r="J4" i="119"/>
  <c r="J5" i="119" s="1"/>
  <c r="I4" i="119"/>
  <c r="I5" i="119" s="1"/>
  <c r="H4" i="119"/>
  <c r="H5" i="119" s="1"/>
  <c r="G4" i="119"/>
  <c r="G5" i="119" s="1"/>
  <c r="F4" i="119"/>
  <c r="F5" i="119" s="1"/>
  <c r="E4" i="119"/>
  <c r="E5" i="119" s="1"/>
  <c r="D4" i="119"/>
  <c r="D5" i="119" s="1"/>
  <c r="AS2" i="119"/>
  <c r="AO2" i="119"/>
  <c r="AK2" i="119"/>
  <c r="AG2" i="119"/>
  <c r="AC2" i="119"/>
  <c r="Y2" i="119"/>
  <c r="U2" i="119"/>
  <c r="Q2" i="119"/>
  <c r="M2" i="119"/>
  <c r="I2" i="119"/>
  <c r="E2" i="119"/>
  <c r="AR2" i="119"/>
  <c r="B2" i="119"/>
  <c r="Q2" i="121" l="1"/>
  <c r="E2" i="121"/>
  <c r="AK2" i="121"/>
  <c r="I2" i="120"/>
  <c r="AO2" i="120"/>
  <c r="I2" i="121"/>
  <c r="Y2" i="121"/>
  <c r="AO2" i="121"/>
  <c r="M2" i="122"/>
  <c r="AC2" i="122"/>
  <c r="AS2" i="122"/>
  <c r="Q2" i="123"/>
  <c r="AG2" i="123"/>
  <c r="AG2" i="121"/>
  <c r="AC2" i="120"/>
  <c r="U2" i="121"/>
  <c r="M2" i="120"/>
  <c r="AS2" i="120"/>
  <c r="M2" i="121"/>
  <c r="AC2" i="121"/>
  <c r="AS2" i="121"/>
  <c r="Q2" i="122"/>
  <c r="AG2" i="122"/>
  <c r="E2" i="123"/>
  <c r="U2" i="123"/>
  <c r="AK2" i="123"/>
  <c r="T6" i="123"/>
  <c r="F2" i="123"/>
  <c r="J2" i="123"/>
  <c r="N2" i="123"/>
  <c r="R2" i="123"/>
  <c r="V2" i="123"/>
  <c r="Z2" i="123"/>
  <c r="AD2" i="123"/>
  <c r="AH2" i="123"/>
  <c r="AL2" i="123"/>
  <c r="AP2" i="123"/>
  <c r="G2" i="123"/>
  <c r="K2" i="123"/>
  <c r="O2" i="123"/>
  <c r="S2" i="123"/>
  <c r="W2" i="123"/>
  <c r="AA2" i="123"/>
  <c r="AE2" i="123"/>
  <c r="AI2" i="123"/>
  <c r="AM2" i="123"/>
  <c r="AQ2" i="123"/>
  <c r="D2" i="123"/>
  <c r="H6" i="123" s="1"/>
  <c r="H2" i="123"/>
  <c r="L2" i="123"/>
  <c r="P2" i="123"/>
  <c r="T2" i="123"/>
  <c r="X2" i="123"/>
  <c r="AB2" i="123"/>
  <c r="AF2" i="123"/>
  <c r="AJ2" i="123"/>
  <c r="AN2" i="123"/>
  <c r="T6" i="122"/>
  <c r="F2" i="122"/>
  <c r="J2" i="122"/>
  <c r="N2" i="122"/>
  <c r="R2" i="122"/>
  <c r="V2" i="122"/>
  <c r="Z2" i="122"/>
  <c r="AD2" i="122"/>
  <c r="AH2" i="122"/>
  <c r="AL2" i="122"/>
  <c r="AP2" i="122"/>
  <c r="G2" i="122"/>
  <c r="K2" i="122"/>
  <c r="O2" i="122"/>
  <c r="S2" i="122"/>
  <c r="W2" i="122"/>
  <c r="AA2" i="122"/>
  <c r="AE2" i="122"/>
  <c r="AI2" i="122"/>
  <c r="AM2" i="122"/>
  <c r="AQ2" i="122"/>
  <c r="D2" i="122"/>
  <c r="H2" i="122"/>
  <c r="L2" i="122"/>
  <c r="P2" i="122"/>
  <c r="T2" i="122"/>
  <c r="X2" i="122"/>
  <c r="AB2" i="122"/>
  <c r="AF2" i="122"/>
  <c r="AJ2" i="122"/>
  <c r="AN2" i="122"/>
  <c r="T6" i="121"/>
  <c r="F2" i="121"/>
  <c r="J2" i="121"/>
  <c r="N2" i="121"/>
  <c r="R2" i="121"/>
  <c r="V2" i="121"/>
  <c r="Z2" i="121"/>
  <c r="AD2" i="121"/>
  <c r="AH2" i="121"/>
  <c r="AL2" i="121"/>
  <c r="AP2" i="121"/>
  <c r="G2" i="121"/>
  <c r="K2" i="121"/>
  <c r="O2" i="121"/>
  <c r="S2" i="121"/>
  <c r="W2" i="121"/>
  <c r="AA2" i="121"/>
  <c r="AE2" i="121"/>
  <c r="AI2" i="121"/>
  <c r="AM2" i="121"/>
  <c r="AQ2" i="121"/>
  <c r="D2" i="121"/>
  <c r="H2" i="121"/>
  <c r="L2" i="121"/>
  <c r="P2" i="121"/>
  <c r="T2" i="121"/>
  <c r="X2" i="121"/>
  <c r="AB2" i="121"/>
  <c r="AF2" i="121"/>
  <c r="AJ2" i="121"/>
  <c r="AN2" i="121"/>
  <c r="Q2" i="120"/>
  <c r="AG2" i="120"/>
  <c r="E2" i="120"/>
  <c r="U2" i="120"/>
  <c r="AK2" i="120"/>
  <c r="T6" i="120"/>
  <c r="F2" i="120"/>
  <c r="J2" i="120"/>
  <c r="N2" i="120"/>
  <c r="R2" i="120"/>
  <c r="V2" i="120"/>
  <c r="Z2" i="120"/>
  <c r="AD2" i="120"/>
  <c r="AH2" i="120"/>
  <c r="AL2" i="120"/>
  <c r="AP2" i="120"/>
  <c r="G2" i="120"/>
  <c r="K2" i="120"/>
  <c r="O2" i="120"/>
  <c r="S2" i="120"/>
  <c r="W2" i="120"/>
  <c r="AA2" i="120"/>
  <c r="AE2" i="120"/>
  <c r="AI2" i="120"/>
  <c r="AM2" i="120"/>
  <c r="AQ2" i="120"/>
  <c r="D2" i="120"/>
  <c r="H2" i="120"/>
  <c r="L2" i="120"/>
  <c r="P2" i="120"/>
  <c r="T2" i="120"/>
  <c r="X2" i="120"/>
  <c r="AB2" i="120"/>
  <c r="AF2" i="120"/>
  <c r="AJ2" i="120"/>
  <c r="AN2" i="120"/>
  <c r="T6" i="119"/>
  <c r="F2" i="119"/>
  <c r="J2" i="119"/>
  <c r="N2" i="119"/>
  <c r="R2" i="119"/>
  <c r="V2" i="119"/>
  <c r="Z2" i="119"/>
  <c r="AD2" i="119"/>
  <c r="AH2" i="119"/>
  <c r="AL2" i="119"/>
  <c r="AP2" i="119"/>
  <c r="G2" i="119"/>
  <c r="K2" i="119"/>
  <c r="O2" i="119"/>
  <c r="S2" i="119"/>
  <c r="W2" i="119"/>
  <c r="AA2" i="119"/>
  <c r="AE2" i="119"/>
  <c r="AI2" i="119"/>
  <c r="AM2" i="119"/>
  <c r="AQ2" i="119"/>
  <c r="H2" i="119"/>
  <c r="L2" i="119"/>
  <c r="P2" i="119"/>
  <c r="T2" i="119"/>
  <c r="X2" i="119"/>
  <c r="AB2" i="119"/>
  <c r="AF2" i="119"/>
  <c r="AJ2" i="119"/>
  <c r="AN2" i="119"/>
  <c r="B2" i="1"/>
  <c r="C2" i="1"/>
  <c r="F2" i="1" s="1"/>
  <c r="AP2" i="1"/>
  <c r="D4" i="1"/>
  <c r="D5" i="1" s="1"/>
  <c r="E4" i="1"/>
  <c r="E5" i="1" s="1"/>
  <c r="F4" i="1"/>
  <c r="F5" i="1" s="1"/>
  <c r="G4" i="1"/>
  <c r="G5" i="1" s="1"/>
  <c r="H4" i="1"/>
  <c r="H5" i="1" s="1"/>
  <c r="I4" i="1"/>
  <c r="I5" i="1" s="1"/>
  <c r="J4" i="1"/>
  <c r="J5" i="1" s="1"/>
  <c r="K4" i="1"/>
  <c r="K5" i="1" s="1"/>
  <c r="L4" i="1"/>
  <c r="L5" i="1" s="1"/>
  <c r="M4" i="1"/>
  <c r="M5" i="1" s="1"/>
  <c r="N4" i="1"/>
  <c r="N5" i="1" s="1"/>
  <c r="O4" i="1"/>
  <c r="O5" i="1" s="1"/>
  <c r="P4" i="1"/>
  <c r="P5" i="1" s="1"/>
  <c r="Q4" i="1"/>
  <c r="Q5" i="1" s="1"/>
  <c r="R4" i="1"/>
  <c r="R5" i="1" s="1"/>
  <c r="S4" i="1"/>
  <c r="S5" i="1" s="1"/>
  <c r="T4" i="1"/>
  <c r="T5" i="1" s="1"/>
  <c r="U4" i="1"/>
  <c r="U5" i="1" s="1"/>
  <c r="V4" i="1"/>
  <c r="V5" i="1" s="1"/>
  <c r="W4" i="1"/>
  <c r="W5" i="1" s="1"/>
  <c r="X4" i="1"/>
  <c r="X5" i="1" s="1"/>
  <c r="Y4" i="1"/>
  <c r="Y5" i="1" s="1"/>
  <c r="Z4" i="1"/>
  <c r="Z5" i="1" s="1"/>
  <c r="AA4" i="1"/>
  <c r="AA5" i="1" s="1"/>
  <c r="AB4" i="1"/>
  <c r="AB5" i="1" s="1"/>
  <c r="AC4" i="1"/>
  <c r="AC5" i="1" s="1"/>
  <c r="AD4" i="1"/>
  <c r="AD5" i="1" s="1"/>
  <c r="AE4" i="1"/>
  <c r="AF4" i="1"/>
  <c r="AF5" i="1" s="1"/>
  <c r="AG4" i="1"/>
  <c r="AG5" i="1" s="1"/>
  <c r="AH4" i="1"/>
  <c r="AH5" i="1" s="1"/>
  <c r="AI4" i="1"/>
  <c r="AI5" i="1" s="1"/>
  <c r="AJ4" i="1"/>
  <c r="AJ5" i="1" s="1"/>
  <c r="AK4" i="1"/>
  <c r="AK5" i="1" s="1"/>
  <c r="AL4" i="1"/>
  <c r="AL5" i="1" s="1"/>
  <c r="AM4" i="1"/>
  <c r="AM5" i="1" s="1"/>
  <c r="AN4" i="1"/>
  <c r="AN5" i="1" s="1"/>
  <c r="AO4" i="1"/>
  <c r="AO5" i="1" s="1"/>
  <c r="AP4" i="1"/>
  <c r="AP5" i="1" s="1"/>
  <c r="AQ4" i="1"/>
  <c r="AQ5" i="1" s="1"/>
  <c r="AR4" i="1"/>
  <c r="AR5" i="1" s="1"/>
  <c r="AS4" i="1"/>
  <c r="AS5" i="1" s="1"/>
  <c r="AE5" i="1"/>
  <c r="N6" i="1"/>
  <c r="B2" i="2"/>
  <c r="C2" i="2"/>
  <c r="D2" i="2" s="1"/>
  <c r="F2" i="2"/>
  <c r="K2" i="2"/>
  <c r="N2" i="2"/>
  <c r="S2" i="2"/>
  <c r="V2" i="2"/>
  <c r="AA2" i="2"/>
  <c r="AD2" i="2"/>
  <c r="AI2" i="2"/>
  <c r="AL2" i="2"/>
  <c r="AQ2" i="2"/>
  <c r="D4" i="2"/>
  <c r="D5" i="2" s="1"/>
  <c r="E4" i="2"/>
  <c r="E5" i="2" s="1"/>
  <c r="F4" i="2"/>
  <c r="G4" i="2"/>
  <c r="H4" i="2"/>
  <c r="H5" i="2" s="1"/>
  <c r="I4" i="2"/>
  <c r="I5" i="2" s="1"/>
  <c r="J4" i="2"/>
  <c r="K4" i="2"/>
  <c r="K5" i="2" s="1"/>
  <c r="L4" i="2"/>
  <c r="L5" i="2" s="1"/>
  <c r="M4" i="2"/>
  <c r="M5" i="2" s="1"/>
  <c r="N4" i="2"/>
  <c r="O4" i="2"/>
  <c r="P4" i="2"/>
  <c r="P5" i="2" s="1"/>
  <c r="Q4" i="2"/>
  <c r="Q5" i="2" s="1"/>
  <c r="R4" i="2"/>
  <c r="S4" i="2"/>
  <c r="S5" i="2" s="1"/>
  <c r="T4" i="2"/>
  <c r="T5" i="2" s="1"/>
  <c r="U4" i="2"/>
  <c r="U5" i="2" s="1"/>
  <c r="V4" i="2"/>
  <c r="W4" i="2"/>
  <c r="X4" i="2"/>
  <c r="X5" i="2" s="1"/>
  <c r="Y4" i="2"/>
  <c r="Y5" i="2" s="1"/>
  <c r="Z4" i="2"/>
  <c r="AA4" i="2"/>
  <c r="AA5" i="2" s="1"/>
  <c r="AB4" i="2"/>
  <c r="AB5" i="2" s="1"/>
  <c r="AC4" i="2"/>
  <c r="AC5" i="2" s="1"/>
  <c r="AD4" i="2"/>
  <c r="AE4" i="2"/>
  <c r="AF4" i="2"/>
  <c r="AF5" i="2" s="1"/>
  <c r="AG4" i="2"/>
  <c r="AG5" i="2" s="1"/>
  <c r="AH4" i="2"/>
  <c r="AI4" i="2"/>
  <c r="AI5" i="2" s="1"/>
  <c r="AJ4" i="2"/>
  <c r="AJ5" i="2" s="1"/>
  <c r="AK4" i="2"/>
  <c r="AK5" i="2" s="1"/>
  <c r="AL4" i="2"/>
  <c r="AM4" i="2"/>
  <c r="AN4" i="2"/>
  <c r="AN5" i="2" s="1"/>
  <c r="AO4" i="2"/>
  <c r="AO5" i="2" s="1"/>
  <c r="AP4" i="2"/>
  <c r="AQ4" i="2"/>
  <c r="AQ5" i="2" s="1"/>
  <c r="AR4" i="2"/>
  <c r="AR5" i="2" s="1"/>
  <c r="AS4" i="2"/>
  <c r="AS5" i="2" s="1"/>
  <c r="F5" i="2"/>
  <c r="G5" i="2"/>
  <c r="J5" i="2"/>
  <c r="N5" i="2"/>
  <c r="O5" i="2"/>
  <c r="R5" i="2"/>
  <c r="V5" i="2"/>
  <c r="W5" i="2"/>
  <c r="Z5" i="2"/>
  <c r="AD5" i="2"/>
  <c r="AE5" i="2"/>
  <c r="AH5" i="2"/>
  <c r="AL5" i="2"/>
  <c r="AM5" i="2"/>
  <c r="AP5" i="2"/>
  <c r="N6" i="2"/>
  <c r="H6" i="122" l="1"/>
  <c r="AP2" i="2"/>
  <c r="AH2" i="2"/>
  <c r="Z2" i="2"/>
  <c r="R2" i="2"/>
  <c r="J2" i="2"/>
  <c r="H6" i="121"/>
  <c r="AM2" i="2"/>
  <c r="AE2" i="2"/>
  <c r="W2" i="2"/>
  <c r="O2" i="2"/>
  <c r="G2" i="2"/>
  <c r="AQ2" i="1"/>
  <c r="I6" i="120"/>
  <c r="I6" i="119"/>
  <c r="AI2" i="1"/>
  <c r="AH2" i="1"/>
  <c r="AA2" i="1"/>
  <c r="Z2" i="1"/>
  <c r="AM2" i="1"/>
  <c r="AE2" i="1"/>
  <c r="W2" i="1"/>
  <c r="AL2" i="1"/>
  <c r="AD2" i="1"/>
  <c r="Q2" i="1"/>
  <c r="M2" i="1"/>
  <c r="V2" i="1"/>
  <c r="L2" i="1"/>
  <c r="S2" i="1"/>
  <c r="G2" i="1"/>
  <c r="H2" i="1"/>
  <c r="AS2" i="1"/>
  <c r="AO2" i="1"/>
  <c r="AK2" i="1"/>
  <c r="AG2" i="1"/>
  <c r="AC2" i="1"/>
  <c r="Y2" i="1"/>
  <c r="U2" i="1"/>
  <c r="P2" i="1"/>
  <c r="K2" i="1"/>
  <c r="E2" i="1"/>
  <c r="AR2" i="1"/>
  <c r="AN2" i="1"/>
  <c r="AJ2" i="1"/>
  <c r="AF2" i="1"/>
  <c r="AB2" i="1"/>
  <c r="X2" i="1"/>
  <c r="T2" i="1"/>
  <c r="O2" i="1"/>
  <c r="I2" i="1"/>
  <c r="D2" i="1"/>
  <c r="T6" i="1"/>
  <c r="T6" i="2"/>
  <c r="AS2" i="2"/>
  <c r="AO2" i="2"/>
  <c r="AK2" i="2"/>
  <c r="AG2" i="2"/>
  <c r="AC2" i="2"/>
  <c r="Y2" i="2"/>
  <c r="U2" i="2"/>
  <c r="Q2" i="2"/>
  <c r="M2" i="2"/>
  <c r="I2" i="2"/>
  <c r="E2" i="2"/>
  <c r="AR2" i="2"/>
  <c r="AN2" i="2"/>
  <c r="AJ2" i="2"/>
  <c r="AF2" i="2"/>
  <c r="AB2" i="2"/>
  <c r="X2" i="2"/>
  <c r="T2" i="2"/>
  <c r="P2" i="2"/>
  <c r="L2" i="2"/>
  <c r="H2" i="2"/>
  <c r="R2" i="1"/>
  <c r="N2" i="1"/>
  <c r="J2" i="1"/>
  <c r="I6" i="1" l="1"/>
  <c r="H6" i="2"/>
</calcChain>
</file>

<file path=xl/comments1.xml><?xml version="1.0" encoding="utf-8"?>
<comments xmlns="http://schemas.openxmlformats.org/spreadsheetml/2006/main">
  <authors>
    <author>User</author>
  </authors>
  <commentList>
    <comment ref="A3" authorId="0">
      <text>
        <r>
          <rPr>
            <b/>
            <sz val="8"/>
            <color indexed="81"/>
            <rFont val="Tahoma"/>
            <charset val="186"/>
          </rPr>
          <t>Ievadam izslaukumu pēc kontroles datiem.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3" authorId="0">
      <text>
        <r>
          <rPr>
            <b/>
            <sz val="8"/>
            <color indexed="81"/>
            <rFont val="Tahoma"/>
            <charset val="186"/>
          </rPr>
          <t>Ievadam izslaukumu pēc kontroles datiem.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A3" authorId="0">
      <text>
        <r>
          <rPr>
            <b/>
            <sz val="8"/>
            <color indexed="81"/>
            <rFont val="Tahoma"/>
            <charset val="186"/>
          </rPr>
          <t>Ievadam izslaukumu pēc kontroles datiem.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A3" authorId="0">
      <text>
        <r>
          <rPr>
            <b/>
            <sz val="8"/>
            <color indexed="81"/>
            <rFont val="Tahoma"/>
            <charset val="186"/>
          </rPr>
          <t>Ievadam izslaukumu pēc kontroles datiem.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A3" authorId="0">
      <text>
        <r>
          <rPr>
            <b/>
            <sz val="8"/>
            <color indexed="81"/>
            <rFont val="Tahoma"/>
            <charset val="186"/>
          </rPr>
          <t>Ievadam izslaukumu pēc kontroles datiem.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A3" authorId="0">
      <text>
        <r>
          <rPr>
            <b/>
            <sz val="8"/>
            <color indexed="81"/>
            <rFont val="Tahoma"/>
            <charset val="186"/>
          </rPr>
          <t>Ievadam izslaukumu pēc kontroles datiem.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A3" authorId="0">
      <text>
        <r>
          <rPr>
            <b/>
            <sz val="8"/>
            <color indexed="81"/>
            <rFont val="Tahoma"/>
            <charset val="186"/>
          </rPr>
          <t>Ievadam izslaukumu pēc kontroles datiem.</t>
        </r>
      </text>
    </comment>
  </commentList>
</comments>
</file>

<file path=xl/sharedStrings.xml><?xml version="1.0" encoding="utf-8"?>
<sst xmlns="http://schemas.openxmlformats.org/spreadsheetml/2006/main" count="70" uniqueCount="11">
  <si>
    <t>Nedēļa</t>
  </si>
  <si>
    <t>Zaudējumi, kg</t>
  </si>
  <si>
    <t>Reāli, kg</t>
  </si>
  <si>
    <t>Standarts, kg</t>
  </si>
  <si>
    <t>Reālais izslaukums</t>
  </si>
  <si>
    <t>Vidējā piena cena</t>
  </si>
  <si>
    <t>Standarta izslaukums,kg</t>
  </si>
  <si>
    <t>Nedēļas</t>
  </si>
  <si>
    <t>Eu/kg</t>
  </si>
  <si>
    <t>Zaudējumi kopā, Eu/ lakt</t>
  </si>
  <si>
    <t>Zaudējumi,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</si>
</sst>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6" x14ac:knownFonts="1">
    <font>
      <sz val="10"/>
      <name val="Arial"/>
      <charset val="186"/>
    </font>
    <font>
      <b/>
      <sz val="8"/>
      <color indexed="81"/>
      <name val="Tahoma"/>
      <charset val="186"/>
    </font>
    <font>
      <b/>
      <sz val="10"/>
      <name val="Arial"/>
      <family val="2"/>
      <charset val="186"/>
    </font>
    <font>
      <b/>
      <sz val="10"/>
      <name val="Arial"/>
      <family val="2"/>
    </font>
    <font>
      <sz val="10"/>
      <name val="Arial"/>
      <family val="2"/>
      <charset val="186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0" borderId="1" xfId="0" applyNumberFormat="1" applyBorder="1"/>
    <xf numFmtId="164" fontId="0" fillId="0" borderId="0" xfId="0" applyNumberFormat="1" applyBorder="1"/>
    <xf numFmtId="164" fontId="0" fillId="0" borderId="1" xfId="0" applyNumberFormat="1" applyFill="1" applyBorder="1" applyProtection="1"/>
    <xf numFmtId="164" fontId="2" fillId="0" borderId="2" xfId="0" applyNumberFormat="1" applyFont="1" applyBorder="1" applyAlignment="1">
      <alignment horizontal="right"/>
    </xf>
    <xf numFmtId="0" fontId="0" fillId="3" borderId="1" xfId="0" applyFill="1" applyBorder="1"/>
    <xf numFmtId="164" fontId="0" fillId="3" borderId="1" xfId="0" applyNumberFormat="1" applyFill="1" applyBorder="1" applyProtection="1"/>
    <xf numFmtId="164" fontId="0" fillId="3" borderId="1" xfId="0" applyNumberFormat="1" applyFill="1" applyBorder="1" applyProtection="1">
      <protection locked="0"/>
    </xf>
    <xf numFmtId="0" fontId="0" fillId="3" borderId="0" xfId="0" applyFill="1"/>
    <xf numFmtId="164" fontId="0" fillId="3" borderId="1" xfId="0" applyNumberFormat="1" applyFill="1" applyBorder="1"/>
    <xf numFmtId="164" fontId="2" fillId="3" borderId="2" xfId="0" applyNumberFormat="1" applyFont="1" applyFill="1" applyBorder="1" applyAlignment="1">
      <alignment horizontal="right"/>
    </xf>
    <xf numFmtId="164" fontId="0" fillId="3" borderId="0" xfId="0" applyNumberFormat="1" applyFill="1" applyBorder="1"/>
    <xf numFmtId="165" fontId="0" fillId="2" borderId="1" xfId="0" applyNumberFormat="1" applyFill="1" applyBorder="1" applyProtection="1">
      <protection locked="0"/>
    </xf>
    <xf numFmtId="164" fontId="2" fillId="0" borderId="2" xfId="0" applyNumberFormat="1" applyFont="1" applyBorder="1" applyAlignment="1">
      <alignment horizontal="right"/>
    </xf>
    <xf numFmtId="0" fontId="4" fillId="3" borderId="0" xfId="0" applyFont="1" applyFill="1" applyBorder="1"/>
    <xf numFmtId="0" fontId="4" fillId="0" borderId="1" xfId="0" applyFont="1" applyBorder="1"/>
    <xf numFmtId="164" fontId="3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/>
              <a:t>Laktāciju līknes un to salīdzinājums Pirmpienēm</a:t>
            </a:r>
          </a:p>
        </c:rich>
      </c:tx>
      <c:layout>
        <c:manualLayout>
          <c:xMode val="edge"/>
          <c:yMode val="edge"/>
          <c:x val="0.27560718057022177"/>
          <c:y val="2.8195514600265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910242872228086E-2"/>
          <c:y val="9.962415158760389E-2"/>
          <c:w val="0.91341077085533262"/>
          <c:h val="0.7406021835003006"/>
        </c:manualLayout>
      </c:layout>
      <c:barChart>
        <c:barDir val="col"/>
        <c:grouping val="clustered"/>
        <c:varyColors val="0"/>
        <c:ser>
          <c:idx val="2"/>
          <c:order val="2"/>
          <c:tx>
            <c:v>Zaudējumi, kg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Pirmpienes!$B$4:$AS$4</c:f>
              <c:numCache>
                <c:formatCode>General</c:formatCode>
                <c:ptCount val="44"/>
                <c:pt idx="0">
                  <c:v>0</c:v>
                </c:pt>
                <c:pt idx="1">
                  <c:v>0</c:v>
                </c:pt>
                <c:pt idx="2" formatCode="0.0">
                  <c:v>0</c:v>
                </c:pt>
                <c:pt idx="3" formatCode="0.0">
                  <c:v>0</c:v>
                </c:pt>
                <c:pt idx="4" formatCode="0.0">
                  <c:v>0</c:v>
                </c:pt>
                <c:pt idx="5" formatCode="0.0">
                  <c:v>0</c:v>
                </c:pt>
                <c:pt idx="6" formatCode="0.0">
                  <c:v>0</c:v>
                </c:pt>
                <c:pt idx="7" formatCode="0.0">
                  <c:v>0</c:v>
                </c:pt>
                <c:pt idx="8" formatCode="0.0">
                  <c:v>0</c:v>
                </c:pt>
                <c:pt idx="9" formatCode="0.0">
                  <c:v>0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 formatCode="0.0">
                  <c:v>0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  <c:pt idx="30" formatCode="0.0">
                  <c:v>0</c:v>
                </c:pt>
                <c:pt idx="31" formatCode="0.0">
                  <c:v>0</c:v>
                </c:pt>
                <c:pt idx="32" formatCode="0.0">
                  <c:v>0</c:v>
                </c:pt>
                <c:pt idx="33" formatCode="0.0">
                  <c:v>0</c:v>
                </c:pt>
                <c:pt idx="34" formatCode="0.0">
                  <c:v>0</c:v>
                </c:pt>
                <c:pt idx="35" formatCode="0.0">
                  <c:v>0</c:v>
                </c:pt>
                <c:pt idx="36" formatCode="0.0">
                  <c:v>0</c:v>
                </c:pt>
                <c:pt idx="37" formatCode="0.0">
                  <c:v>0</c:v>
                </c:pt>
                <c:pt idx="38" formatCode="0.0">
                  <c:v>0</c:v>
                </c:pt>
                <c:pt idx="39" formatCode="0.0">
                  <c:v>0</c:v>
                </c:pt>
                <c:pt idx="40" formatCode="0.0">
                  <c:v>0</c:v>
                </c:pt>
                <c:pt idx="41" formatCode="0.0">
                  <c:v>0</c:v>
                </c:pt>
                <c:pt idx="42" formatCode="0.0">
                  <c:v>0</c:v>
                </c:pt>
                <c:pt idx="43" formatCode="0.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42-4C03-959A-621F66320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759168"/>
        <c:axId val="114774400"/>
      </c:barChart>
      <c:lineChart>
        <c:grouping val="standard"/>
        <c:varyColors val="0"/>
        <c:ser>
          <c:idx val="0"/>
          <c:order val="0"/>
          <c:tx>
            <c:v>Standarta līkne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Pirmpienes!$B$2:$AS$2</c:f>
              <c:numCache>
                <c:formatCode>0.0</c:formatCode>
                <c:ptCount val="44"/>
                <c:pt idx="0">
                  <c:v>32</c:v>
                </c:pt>
                <c:pt idx="1">
                  <c:v>35</c:v>
                </c:pt>
                <c:pt idx="2">
                  <c:v>36.750000000000014</c:v>
                </c:pt>
                <c:pt idx="3">
                  <c:v>39.375</c:v>
                </c:pt>
                <c:pt idx="4">
                  <c:v>42.000000000000014</c:v>
                </c:pt>
                <c:pt idx="5">
                  <c:v>43.75</c:v>
                </c:pt>
                <c:pt idx="6">
                  <c:v>45.15000000000002</c:v>
                </c:pt>
                <c:pt idx="7">
                  <c:v>45.850000000000009</c:v>
                </c:pt>
                <c:pt idx="8">
                  <c:v>46.374999999999972</c:v>
                </c:pt>
                <c:pt idx="9">
                  <c:v>46.550000000000018</c:v>
                </c:pt>
                <c:pt idx="10">
                  <c:v>46.199999999999974</c:v>
                </c:pt>
                <c:pt idx="11">
                  <c:v>45.675000000000033</c:v>
                </c:pt>
                <c:pt idx="12">
                  <c:v>44.97500000000003</c:v>
                </c:pt>
                <c:pt idx="13">
                  <c:v>44.274999999999991</c:v>
                </c:pt>
                <c:pt idx="14">
                  <c:v>43.575000000000024</c:v>
                </c:pt>
                <c:pt idx="15">
                  <c:v>42.874999999999993</c:v>
                </c:pt>
                <c:pt idx="16">
                  <c:v>42.175000000000011</c:v>
                </c:pt>
                <c:pt idx="17">
                  <c:v>41.475000000000023</c:v>
                </c:pt>
                <c:pt idx="18">
                  <c:v>40.775000000000013</c:v>
                </c:pt>
                <c:pt idx="19">
                  <c:v>40.07500000000001</c:v>
                </c:pt>
                <c:pt idx="20">
                  <c:v>39.375000000000043</c:v>
                </c:pt>
                <c:pt idx="21">
                  <c:v>38.67500000000004</c:v>
                </c:pt>
                <c:pt idx="22">
                  <c:v>37.975000000000051</c:v>
                </c:pt>
                <c:pt idx="23">
                  <c:v>37.275000000000034</c:v>
                </c:pt>
                <c:pt idx="24">
                  <c:v>36.575000000000045</c:v>
                </c:pt>
                <c:pt idx="25">
                  <c:v>35.875000000000036</c:v>
                </c:pt>
                <c:pt idx="26">
                  <c:v>35.175000000000054</c:v>
                </c:pt>
                <c:pt idx="27">
                  <c:v>34.474999999999973</c:v>
                </c:pt>
                <c:pt idx="28">
                  <c:v>33.775000000000112</c:v>
                </c:pt>
                <c:pt idx="29">
                  <c:v>33.074999999999946</c:v>
                </c:pt>
                <c:pt idx="30">
                  <c:v>32.375000000000028</c:v>
                </c:pt>
                <c:pt idx="31">
                  <c:v>31.674999999999933</c:v>
                </c:pt>
                <c:pt idx="32">
                  <c:v>30.974999999999969</c:v>
                </c:pt>
                <c:pt idx="33">
                  <c:v>30.274999999999991</c:v>
                </c:pt>
                <c:pt idx="34">
                  <c:v>29.575000000000049</c:v>
                </c:pt>
                <c:pt idx="35">
                  <c:v>28.875000000000053</c:v>
                </c:pt>
                <c:pt idx="36">
                  <c:v>28.175000000000011</c:v>
                </c:pt>
                <c:pt idx="37">
                  <c:v>27.47500000000003</c:v>
                </c:pt>
                <c:pt idx="38">
                  <c:v>26.775000000000006</c:v>
                </c:pt>
                <c:pt idx="39">
                  <c:v>26.075000000000017</c:v>
                </c:pt>
                <c:pt idx="40">
                  <c:v>25.375000000000114</c:v>
                </c:pt>
                <c:pt idx="41">
                  <c:v>24.675000000000118</c:v>
                </c:pt>
                <c:pt idx="42">
                  <c:v>23.975000000000005</c:v>
                </c:pt>
                <c:pt idx="43">
                  <c:v>23.275000000000009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42-4C03-959A-621F6632016F}"/>
            </c:ext>
          </c:extLst>
        </c:ser>
        <c:ser>
          <c:idx val="1"/>
          <c:order val="1"/>
          <c:tx>
            <c:v>Reālā līkne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Pirmpienes!$B$3:$AS$3</c:f>
              <c:numCache>
                <c:formatCode>0.0</c:formatCode>
                <c:ptCount val="44"/>
                <c:pt idx="0">
                  <c:v>32</c:v>
                </c:pt>
                <c:pt idx="1">
                  <c:v>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E42-4C03-959A-621F66320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759168"/>
        <c:axId val="114774400"/>
      </c:lineChart>
      <c:catAx>
        <c:axId val="114759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lv-LV"/>
                  <a:t>nedēļas</a:t>
                </a:r>
              </a:p>
            </c:rich>
          </c:tx>
          <c:layout>
            <c:manualLayout>
              <c:xMode val="edge"/>
              <c:yMode val="edge"/>
              <c:x val="0.48257655755015838"/>
              <c:y val="0.898497065261785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1477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774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lv-LV"/>
                  <a:t>kg</a:t>
                </a:r>
              </a:p>
            </c:rich>
          </c:tx>
          <c:layout>
            <c:manualLayout>
              <c:xMode val="edge"/>
              <c:yMode val="edge"/>
              <c:x val="5.279831045406547E-3"/>
              <c:y val="0.453007934577595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14759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715945089757126"/>
          <c:y val="0.92857228083540222"/>
          <c:w val="0.49102428722280889"/>
          <c:h val="5.63910292005305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/>
              <a:t>Laktāciju līknes un to salīdzinājums Pirmpienēm</a:t>
            </a:r>
          </a:p>
        </c:rich>
      </c:tx>
      <c:layout>
        <c:manualLayout>
          <c:xMode val="edge"/>
          <c:yMode val="edge"/>
          <c:x val="0.27560718057022177"/>
          <c:y val="2.8195514600265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910242872228086E-2"/>
          <c:y val="9.962415158760389E-2"/>
          <c:w val="0.91341077085533262"/>
          <c:h val="0.7406021835003006"/>
        </c:manualLayout>
      </c:layout>
      <c:barChart>
        <c:barDir val="col"/>
        <c:grouping val="clustered"/>
        <c:varyColors val="0"/>
        <c:ser>
          <c:idx val="2"/>
          <c:order val="2"/>
          <c:tx>
            <c:v>Zaudējumi, kg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'Pirmpienes (2)'!$B$4:$AS$4</c:f>
              <c:numCache>
                <c:formatCode>General</c:formatCode>
                <c:ptCount val="44"/>
                <c:pt idx="0">
                  <c:v>0</c:v>
                </c:pt>
                <c:pt idx="1">
                  <c:v>0</c:v>
                </c:pt>
                <c:pt idx="2" formatCode="0.0">
                  <c:v>0</c:v>
                </c:pt>
                <c:pt idx="3" formatCode="0.0">
                  <c:v>0</c:v>
                </c:pt>
                <c:pt idx="4" formatCode="0.0">
                  <c:v>0</c:v>
                </c:pt>
                <c:pt idx="5" formatCode="0.0">
                  <c:v>0</c:v>
                </c:pt>
                <c:pt idx="6" formatCode="0.0">
                  <c:v>0</c:v>
                </c:pt>
                <c:pt idx="7" formatCode="0.0">
                  <c:v>0</c:v>
                </c:pt>
                <c:pt idx="8" formatCode="0.0">
                  <c:v>0</c:v>
                </c:pt>
                <c:pt idx="9" formatCode="0.0">
                  <c:v>0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 formatCode="0.0">
                  <c:v>0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  <c:pt idx="30" formatCode="0.0">
                  <c:v>0</c:v>
                </c:pt>
                <c:pt idx="31" formatCode="0.0">
                  <c:v>0</c:v>
                </c:pt>
                <c:pt idx="32" formatCode="0.0">
                  <c:v>0</c:v>
                </c:pt>
                <c:pt idx="33" formatCode="0.0">
                  <c:v>0</c:v>
                </c:pt>
                <c:pt idx="34" formatCode="0.0">
                  <c:v>0</c:v>
                </c:pt>
                <c:pt idx="35" formatCode="0.0">
                  <c:v>0</c:v>
                </c:pt>
                <c:pt idx="36" formatCode="0.0">
                  <c:v>0</c:v>
                </c:pt>
                <c:pt idx="37" formatCode="0.0">
                  <c:v>0</c:v>
                </c:pt>
                <c:pt idx="38" formatCode="0.0">
                  <c:v>0</c:v>
                </c:pt>
                <c:pt idx="39" formatCode="0.0">
                  <c:v>0</c:v>
                </c:pt>
                <c:pt idx="40" formatCode="0.0">
                  <c:v>0</c:v>
                </c:pt>
                <c:pt idx="41" formatCode="0.0">
                  <c:v>0</c:v>
                </c:pt>
                <c:pt idx="42" formatCode="0.0">
                  <c:v>0</c:v>
                </c:pt>
                <c:pt idx="43" formatCode="0.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D8-4DBF-A4D6-46659C1D8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69120"/>
        <c:axId val="44876160"/>
      </c:barChart>
      <c:lineChart>
        <c:grouping val="standard"/>
        <c:varyColors val="0"/>
        <c:ser>
          <c:idx val="0"/>
          <c:order val="0"/>
          <c:tx>
            <c:v>Standarta līkne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'Pirmpienes (2)'!$B$2:$AS$2</c:f>
              <c:numCache>
                <c:formatCode>0.0</c:formatCode>
                <c:ptCount val="44"/>
                <c:pt idx="0">
                  <c:v>25</c:v>
                </c:pt>
                <c:pt idx="1">
                  <c:v>30</c:v>
                </c:pt>
                <c:pt idx="2">
                  <c:v>31.500000000000014</c:v>
                </c:pt>
                <c:pt idx="3">
                  <c:v>33.75</c:v>
                </c:pt>
                <c:pt idx="4">
                  <c:v>36.000000000000014</c:v>
                </c:pt>
                <c:pt idx="5">
                  <c:v>37.5</c:v>
                </c:pt>
                <c:pt idx="6">
                  <c:v>38.700000000000017</c:v>
                </c:pt>
                <c:pt idx="7">
                  <c:v>39.300000000000011</c:v>
                </c:pt>
                <c:pt idx="8">
                  <c:v>39.749999999999972</c:v>
                </c:pt>
                <c:pt idx="9">
                  <c:v>39.900000000000013</c:v>
                </c:pt>
                <c:pt idx="10">
                  <c:v>39.59999999999998</c:v>
                </c:pt>
                <c:pt idx="11">
                  <c:v>39.150000000000027</c:v>
                </c:pt>
                <c:pt idx="12">
                  <c:v>38.550000000000026</c:v>
                </c:pt>
                <c:pt idx="13">
                  <c:v>37.949999999999996</c:v>
                </c:pt>
                <c:pt idx="14">
                  <c:v>37.350000000000023</c:v>
                </c:pt>
                <c:pt idx="15">
                  <c:v>36.749999999999993</c:v>
                </c:pt>
                <c:pt idx="16">
                  <c:v>36.150000000000006</c:v>
                </c:pt>
                <c:pt idx="17">
                  <c:v>35.550000000000018</c:v>
                </c:pt>
                <c:pt idx="18">
                  <c:v>34.95000000000001</c:v>
                </c:pt>
                <c:pt idx="19">
                  <c:v>34.350000000000009</c:v>
                </c:pt>
                <c:pt idx="20">
                  <c:v>33.750000000000036</c:v>
                </c:pt>
                <c:pt idx="21">
                  <c:v>33.150000000000034</c:v>
                </c:pt>
                <c:pt idx="22">
                  <c:v>32.55000000000004</c:v>
                </c:pt>
                <c:pt idx="23">
                  <c:v>31.950000000000028</c:v>
                </c:pt>
                <c:pt idx="24">
                  <c:v>31.350000000000041</c:v>
                </c:pt>
                <c:pt idx="25">
                  <c:v>30.750000000000032</c:v>
                </c:pt>
                <c:pt idx="26">
                  <c:v>30.150000000000045</c:v>
                </c:pt>
                <c:pt idx="27">
                  <c:v>29.549999999999976</c:v>
                </c:pt>
                <c:pt idx="28">
                  <c:v>28.950000000000095</c:v>
                </c:pt>
                <c:pt idx="29">
                  <c:v>28.349999999999955</c:v>
                </c:pt>
                <c:pt idx="30">
                  <c:v>27.750000000000028</c:v>
                </c:pt>
                <c:pt idx="31">
                  <c:v>27.149999999999945</c:v>
                </c:pt>
                <c:pt idx="32">
                  <c:v>26.549999999999972</c:v>
                </c:pt>
                <c:pt idx="33">
                  <c:v>25.949999999999992</c:v>
                </c:pt>
                <c:pt idx="34">
                  <c:v>25.350000000000041</c:v>
                </c:pt>
                <c:pt idx="35">
                  <c:v>24.750000000000046</c:v>
                </c:pt>
                <c:pt idx="36">
                  <c:v>24.150000000000009</c:v>
                </c:pt>
                <c:pt idx="37">
                  <c:v>23.550000000000026</c:v>
                </c:pt>
                <c:pt idx="38">
                  <c:v>22.950000000000003</c:v>
                </c:pt>
                <c:pt idx="39">
                  <c:v>22.350000000000012</c:v>
                </c:pt>
                <c:pt idx="40">
                  <c:v>21.750000000000096</c:v>
                </c:pt>
                <c:pt idx="41">
                  <c:v>21.150000000000102</c:v>
                </c:pt>
                <c:pt idx="42">
                  <c:v>20.550000000000004</c:v>
                </c:pt>
                <c:pt idx="43">
                  <c:v>19.950000000000006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D8-4DBF-A4D6-46659C1D88A2}"/>
            </c:ext>
          </c:extLst>
        </c:ser>
        <c:ser>
          <c:idx val="1"/>
          <c:order val="1"/>
          <c:tx>
            <c:v>Reālā līkne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'Pirmpienes (2)'!$B$3:$AS$3</c:f>
              <c:numCache>
                <c:formatCode>0.0</c:formatCode>
                <c:ptCount val="44"/>
                <c:pt idx="0">
                  <c:v>25</c:v>
                </c:pt>
                <c:pt idx="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FD8-4DBF-A4D6-46659C1D8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69120"/>
        <c:axId val="44876160"/>
      </c:lineChart>
      <c:catAx>
        <c:axId val="44869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lv-LV"/>
                  <a:t>nedēļas</a:t>
                </a:r>
              </a:p>
            </c:rich>
          </c:tx>
          <c:layout>
            <c:manualLayout>
              <c:xMode val="edge"/>
              <c:yMode val="edge"/>
              <c:x val="0.48257655755015838"/>
              <c:y val="0.898497065261785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487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76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lv-LV"/>
                  <a:t>kg</a:t>
                </a:r>
              </a:p>
            </c:rich>
          </c:tx>
          <c:layout>
            <c:manualLayout>
              <c:xMode val="edge"/>
              <c:yMode val="edge"/>
              <c:x val="5.279831045406547E-3"/>
              <c:y val="0.453007934577595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4869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715945089757126"/>
          <c:y val="0.92857228083540222"/>
          <c:w val="0.49102428722280889"/>
          <c:h val="5.63910292005305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/>
              <a:t>Laktāciju līknes un to salīdzinājums Pirmpienēm</a:t>
            </a:r>
          </a:p>
        </c:rich>
      </c:tx>
      <c:layout>
        <c:manualLayout>
          <c:xMode val="edge"/>
          <c:yMode val="edge"/>
          <c:x val="0.27560718057022177"/>
          <c:y val="2.8195514600265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910242872228086E-2"/>
          <c:y val="9.962415158760389E-2"/>
          <c:w val="0.91341077085533262"/>
          <c:h val="0.7406021835003006"/>
        </c:manualLayout>
      </c:layout>
      <c:barChart>
        <c:barDir val="col"/>
        <c:grouping val="clustered"/>
        <c:varyColors val="0"/>
        <c:ser>
          <c:idx val="2"/>
          <c:order val="2"/>
          <c:tx>
            <c:v>Zaudējumi, kg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'Pirmpienes (3)'!$B$4:$AS$4</c:f>
              <c:numCache>
                <c:formatCode>General</c:formatCode>
                <c:ptCount val="44"/>
                <c:pt idx="0">
                  <c:v>0</c:v>
                </c:pt>
                <c:pt idx="1">
                  <c:v>0</c:v>
                </c:pt>
                <c:pt idx="2" formatCode="0.0">
                  <c:v>0</c:v>
                </c:pt>
                <c:pt idx="3" formatCode="0.0">
                  <c:v>0</c:v>
                </c:pt>
                <c:pt idx="4" formatCode="0.0">
                  <c:v>0</c:v>
                </c:pt>
                <c:pt idx="5" formatCode="0.0">
                  <c:v>0</c:v>
                </c:pt>
                <c:pt idx="6" formatCode="0.0">
                  <c:v>0</c:v>
                </c:pt>
                <c:pt idx="7" formatCode="0.0">
                  <c:v>0</c:v>
                </c:pt>
                <c:pt idx="8" formatCode="0.0">
                  <c:v>0</c:v>
                </c:pt>
                <c:pt idx="9" formatCode="0.0">
                  <c:v>0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 formatCode="0.0">
                  <c:v>0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  <c:pt idx="30" formatCode="0.0">
                  <c:v>0</c:v>
                </c:pt>
                <c:pt idx="31" formatCode="0.0">
                  <c:v>0</c:v>
                </c:pt>
                <c:pt idx="32" formatCode="0.0">
                  <c:v>0</c:v>
                </c:pt>
                <c:pt idx="33" formatCode="0.0">
                  <c:v>0</c:v>
                </c:pt>
                <c:pt idx="34" formatCode="0.0">
                  <c:v>0</c:v>
                </c:pt>
                <c:pt idx="35" formatCode="0.0">
                  <c:v>0</c:v>
                </c:pt>
                <c:pt idx="36" formatCode="0.0">
                  <c:v>0</c:v>
                </c:pt>
                <c:pt idx="37" formatCode="0.0">
                  <c:v>0</c:v>
                </c:pt>
                <c:pt idx="38" formatCode="0.0">
                  <c:v>0</c:v>
                </c:pt>
                <c:pt idx="39" formatCode="0.0">
                  <c:v>0</c:v>
                </c:pt>
                <c:pt idx="40" formatCode="0.0">
                  <c:v>0</c:v>
                </c:pt>
                <c:pt idx="41" formatCode="0.0">
                  <c:v>0</c:v>
                </c:pt>
                <c:pt idx="42" formatCode="0.0">
                  <c:v>0</c:v>
                </c:pt>
                <c:pt idx="43" formatCode="0.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23-4B61-90E4-E8849A5F9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40160"/>
        <c:axId val="45347200"/>
      </c:barChart>
      <c:lineChart>
        <c:grouping val="standard"/>
        <c:varyColors val="0"/>
        <c:ser>
          <c:idx val="0"/>
          <c:order val="0"/>
          <c:tx>
            <c:v>Standarta līkne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'Pirmpienes (3)'!$B$2:$AS$2</c:f>
              <c:numCache>
                <c:formatCode>0.0</c:formatCode>
                <c:ptCount val="44"/>
                <c:pt idx="0">
                  <c:v>30</c:v>
                </c:pt>
                <c:pt idx="1">
                  <c:v>33</c:v>
                </c:pt>
                <c:pt idx="2">
                  <c:v>34.650000000000013</c:v>
                </c:pt>
                <c:pt idx="3">
                  <c:v>37.125</c:v>
                </c:pt>
                <c:pt idx="4">
                  <c:v>39.600000000000016</c:v>
                </c:pt>
                <c:pt idx="5">
                  <c:v>41.25</c:v>
                </c:pt>
                <c:pt idx="6">
                  <c:v>42.570000000000022</c:v>
                </c:pt>
                <c:pt idx="7">
                  <c:v>43.230000000000011</c:v>
                </c:pt>
                <c:pt idx="8">
                  <c:v>43.724999999999973</c:v>
                </c:pt>
                <c:pt idx="9">
                  <c:v>43.890000000000015</c:v>
                </c:pt>
                <c:pt idx="10">
                  <c:v>43.559999999999974</c:v>
                </c:pt>
                <c:pt idx="11">
                  <c:v>43.065000000000033</c:v>
                </c:pt>
                <c:pt idx="12">
                  <c:v>42.40500000000003</c:v>
                </c:pt>
                <c:pt idx="13">
                  <c:v>41.744999999999997</c:v>
                </c:pt>
                <c:pt idx="14">
                  <c:v>41.085000000000022</c:v>
                </c:pt>
                <c:pt idx="15">
                  <c:v>40.42499999999999</c:v>
                </c:pt>
                <c:pt idx="16">
                  <c:v>39.765000000000008</c:v>
                </c:pt>
                <c:pt idx="17">
                  <c:v>39.105000000000018</c:v>
                </c:pt>
                <c:pt idx="18">
                  <c:v>38.445000000000014</c:v>
                </c:pt>
                <c:pt idx="19">
                  <c:v>37.785000000000011</c:v>
                </c:pt>
                <c:pt idx="20">
                  <c:v>37.125000000000043</c:v>
                </c:pt>
                <c:pt idx="21">
                  <c:v>36.465000000000039</c:v>
                </c:pt>
                <c:pt idx="22">
                  <c:v>35.805000000000049</c:v>
                </c:pt>
                <c:pt idx="23">
                  <c:v>35.145000000000032</c:v>
                </c:pt>
                <c:pt idx="24">
                  <c:v>34.485000000000042</c:v>
                </c:pt>
                <c:pt idx="25">
                  <c:v>33.825000000000038</c:v>
                </c:pt>
                <c:pt idx="26">
                  <c:v>33.165000000000049</c:v>
                </c:pt>
                <c:pt idx="27">
                  <c:v>32.504999999999974</c:v>
                </c:pt>
                <c:pt idx="28">
                  <c:v>31.845000000000105</c:v>
                </c:pt>
                <c:pt idx="29">
                  <c:v>31.184999999999949</c:v>
                </c:pt>
                <c:pt idx="30">
                  <c:v>30.525000000000031</c:v>
                </c:pt>
                <c:pt idx="31">
                  <c:v>29.864999999999938</c:v>
                </c:pt>
                <c:pt idx="32">
                  <c:v>29.20499999999997</c:v>
                </c:pt>
                <c:pt idx="33">
                  <c:v>28.544999999999991</c:v>
                </c:pt>
                <c:pt idx="34">
                  <c:v>27.885000000000044</c:v>
                </c:pt>
                <c:pt idx="35">
                  <c:v>27.225000000000048</c:v>
                </c:pt>
                <c:pt idx="36">
                  <c:v>26.565000000000012</c:v>
                </c:pt>
                <c:pt idx="37">
                  <c:v>25.90500000000003</c:v>
                </c:pt>
                <c:pt idx="38">
                  <c:v>25.245000000000005</c:v>
                </c:pt>
                <c:pt idx="39">
                  <c:v>24.585000000000015</c:v>
                </c:pt>
                <c:pt idx="40">
                  <c:v>23.925000000000107</c:v>
                </c:pt>
                <c:pt idx="41">
                  <c:v>23.265000000000111</c:v>
                </c:pt>
                <c:pt idx="42">
                  <c:v>22.605000000000004</c:v>
                </c:pt>
                <c:pt idx="43">
                  <c:v>21.945000000000007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23-4B61-90E4-E8849A5F9F90}"/>
            </c:ext>
          </c:extLst>
        </c:ser>
        <c:ser>
          <c:idx val="1"/>
          <c:order val="1"/>
          <c:tx>
            <c:v>Reālā līkne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'Pirmpienes (3)'!$B$3:$AS$3</c:f>
              <c:numCache>
                <c:formatCode>0.0</c:formatCode>
                <c:ptCount val="44"/>
                <c:pt idx="0">
                  <c:v>30</c:v>
                </c:pt>
                <c:pt idx="1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23-4B61-90E4-E8849A5F9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40160"/>
        <c:axId val="45347200"/>
      </c:lineChart>
      <c:catAx>
        <c:axId val="45340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lv-LV"/>
                  <a:t>nedēļas</a:t>
                </a:r>
              </a:p>
            </c:rich>
          </c:tx>
          <c:layout>
            <c:manualLayout>
              <c:xMode val="edge"/>
              <c:yMode val="edge"/>
              <c:x val="0.48257655755015838"/>
              <c:y val="0.898497065261785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534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47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lv-LV"/>
                  <a:t>kg</a:t>
                </a:r>
              </a:p>
            </c:rich>
          </c:tx>
          <c:layout>
            <c:manualLayout>
              <c:xMode val="edge"/>
              <c:yMode val="edge"/>
              <c:x val="5.279831045406547E-3"/>
              <c:y val="0.453007934577595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5340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715945089757126"/>
          <c:y val="0.92857228083540222"/>
          <c:w val="0.49102428722280889"/>
          <c:h val="5.63910292005305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/>
              <a:t>Laktāciju līknes un to salīdzinājums Slaucamām govīm</a:t>
            </a:r>
          </a:p>
        </c:rich>
      </c:tx>
      <c:layout>
        <c:manualLayout>
          <c:xMode val="edge"/>
          <c:yMode val="edge"/>
          <c:x val="0.24385026737967913"/>
          <c:y val="2.89017884863252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614973262032089E-2"/>
          <c:y val="0.1001928667525943"/>
          <c:w val="0.91336898395721922"/>
          <c:h val="0.73410542755266206"/>
        </c:manualLayout>
      </c:layout>
      <c:barChart>
        <c:barDir val="col"/>
        <c:grouping val="clustered"/>
        <c:varyColors val="0"/>
        <c:ser>
          <c:idx val="2"/>
          <c:order val="2"/>
          <c:tx>
            <c:v>Zaudējumi, kg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'Slauc govis'!$B$4:$AS$4</c:f>
              <c:numCache>
                <c:formatCode>General</c:formatCode>
                <c:ptCount val="44"/>
                <c:pt idx="0">
                  <c:v>0</c:v>
                </c:pt>
                <c:pt idx="1">
                  <c:v>0</c:v>
                </c:pt>
                <c:pt idx="2" formatCode="0.0">
                  <c:v>0</c:v>
                </c:pt>
                <c:pt idx="3" formatCode="0.0">
                  <c:v>0</c:v>
                </c:pt>
                <c:pt idx="4" formatCode="0.0">
                  <c:v>0</c:v>
                </c:pt>
                <c:pt idx="5" formatCode="0.0">
                  <c:v>0</c:v>
                </c:pt>
                <c:pt idx="6" formatCode="0.0">
                  <c:v>0</c:v>
                </c:pt>
                <c:pt idx="7" formatCode="0.0">
                  <c:v>0</c:v>
                </c:pt>
                <c:pt idx="8" formatCode="0.0">
                  <c:v>0</c:v>
                </c:pt>
                <c:pt idx="9" formatCode="0.0">
                  <c:v>0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 formatCode="0.0">
                  <c:v>0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  <c:pt idx="30" formatCode="0.0">
                  <c:v>0</c:v>
                </c:pt>
                <c:pt idx="31" formatCode="0.0">
                  <c:v>0</c:v>
                </c:pt>
                <c:pt idx="32" formatCode="0.0">
                  <c:v>0</c:v>
                </c:pt>
                <c:pt idx="33" formatCode="0.0">
                  <c:v>0</c:v>
                </c:pt>
                <c:pt idx="34" formatCode="0.0">
                  <c:v>0</c:v>
                </c:pt>
                <c:pt idx="35" formatCode="0.0">
                  <c:v>0</c:v>
                </c:pt>
                <c:pt idx="36" formatCode="0.0">
                  <c:v>0</c:v>
                </c:pt>
                <c:pt idx="37" formatCode="0.0">
                  <c:v>0</c:v>
                </c:pt>
                <c:pt idx="38" formatCode="0.0">
                  <c:v>0</c:v>
                </c:pt>
                <c:pt idx="39" formatCode="0.0">
                  <c:v>0</c:v>
                </c:pt>
                <c:pt idx="40" formatCode="0.0">
                  <c:v>0</c:v>
                </c:pt>
                <c:pt idx="41" formatCode="0.0">
                  <c:v>0</c:v>
                </c:pt>
                <c:pt idx="42" formatCode="0.0">
                  <c:v>0</c:v>
                </c:pt>
                <c:pt idx="43" formatCode="0.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02-4BC8-9E85-C61F176F3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20512"/>
        <c:axId val="45127552"/>
      </c:barChart>
      <c:lineChart>
        <c:grouping val="standard"/>
        <c:varyColors val="0"/>
        <c:ser>
          <c:idx val="0"/>
          <c:order val="0"/>
          <c:tx>
            <c:v>Standarta līkne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'Slauc govis'!$B$2:$AS$2</c:f>
              <c:numCache>
                <c:formatCode>0.0</c:formatCode>
                <c:ptCount val="44"/>
                <c:pt idx="0">
                  <c:v>19</c:v>
                </c:pt>
                <c:pt idx="1">
                  <c:v>25</c:v>
                </c:pt>
                <c:pt idx="2">
                  <c:v>27.999999999999996</c:v>
                </c:pt>
                <c:pt idx="3">
                  <c:v>30.999999999999993</c:v>
                </c:pt>
                <c:pt idx="4">
                  <c:v>32</c:v>
                </c:pt>
                <c:pt idx="5">
                  <c:v>32.500000000000007</c:v>
                </c:pt>
                <c:pt idx="6">
                  <c:v>32.1</c:v>
                </c:pt>
                <c:pt idx="7">
                  <c:v>31.300000000000018</c:v>
                </c:pt>
                <c:pt idx="8">
                  <c:v>30.70000000000001</c:v>
                </c:pt>
                <c:pt idx="9">
                  <c:v>30.000000000000011</c:v>
                </c:pt>
                <c:pt idx="10">
                  <c:v>29.375</c:v>
                </c:pt>
                <c:pt idx="11">
                  <c:v>28.750000000000011</c:v>
                </c:pt>
                <c:pt idx="12">
                  <c:v>28.124999999999996</c:v>
                </c:pt>
                <c:pt idx="13">
                  <c:v>27.500000000000004</c:v>
                </c:pt>
                <c:pt idx="14">
                  <c:v>26.874999999999996</c:v>
                </c:pt>
                <c:pt idx="15">
                  <c:v>26.250000000000011</c:v>
                </c:pt>
                <c:pt idx="16">
                  <c:v>25.625</c:v>
                </c:pt>
                <c:pt idx="17">
                  <c:v>25</c:v>
                </c:pt>
                <c:pt idx="18">
                  <c:v>24.374999999999897</c:v>
                </c:pt>
                <c:pt idx="19">
                  <c:v>23.749999999999968</c:v>
                </c:pt>
                <c:pt idx="20">
                  <c:v>23.125000000000021</c:v>
                </c:pt>
                <c:pt idx="21">
                  <c:v>22.500000000000021</c:v>
                </c:pt>
                <c:pt idx="22">
                  <c:v>21.875000000000057</c:v>
                </c:pt>
                <c:pt idx="23">
                  <c:v>21.250000000000075</c:v>
                </c:pt>
                <c:pt idx="24">
                  <c:v>20.625000000000036</c:v>
                </c:pt>
                <c:pt idx="25">
                  <c:v>20</c:v>
                </c:pt>
                <c:pt idx="26">
                  <c:v>19.375000000000021</c:v>
                </c:pt>
                <c:pt idx="27">
                  <c:v>18.750000000000046</c:v>
                </c:pt>
                <c:pt idx="28">
                  <c:v>18.12499999999995</c:v>
                </c:pt>
                <c:pt idx="29">
                  <c:v>17.499999999999982</c:v>
                </c:pt>
                <c:pt idx="30">
                  <c:v>16.875000000000018</c:v>
                </c:pt>
                <c:pt idx="31">
                  <c:v>16.249999999999982</c:v>
                </c:pt>
                <c:pt idx="32">
                  <c:v>15.625</c:v>
                </c:pt>
                <c:pt idx="33">
                  <c:v>14.99999999999997</c:v>
                </c:pt>
                <c:pt idx="34">
                  <c:v>14.374999999999989</c:v>
                </c:pt>
                <c:pt idx="35">
                  <c:v>13.749999999999988</c:v>
                </c:pt>
                <c:pt idx="36">
                  <c:v>13.125000000000032</c:v>
                </c:pt>
                <c:pt idx="37">
                  <c:v>12.5</c:v>
                </c:pt>
                <c:pt idx="38">
                  <c:v>11.874999999999984</c:v>
                </c:pt>
                <c:pt idx="39">
                  <c:v>11.250000000000011</c:v>
                </c:pt>
                <c:pt idx="40">
                  <c:v>10.624999999999991</c:v>
                </c:pt>
                <c:pt idx="41">
                  <c:v>10</c:v>
                </c:pt>
                <c:pt idx="42">
                  <c:v>9.3749999999999876</c:v>
                </c:pt>
                <c:pt idx="43">
                  <c:v>8.7499999999999911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02-4BC8-9E85-C61F176F3A50}"/>
            </c:ext>
          </c:extLst>
        </c:ser>
        <c:ser>
          <c:idx val="1"/>
          <c:order val="1"/>
          <c:tx>
            <c:v>Reālā līkne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'Slauc govis'!$B$3:$AS$3</c:f>
              <c:numCache>
                <c:formatCode>0.0</c:formatCode>
                <c:ptCount val="44"/>
                <c:pt idx="0">
                  <c:v>19</c:v>
                </c:pt>
                <c:pt idx="1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B02-4BC8-9E85-C61F176F3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20512"/>
        <c:axId val="45127552"/>
      </c:lineChart>
      <c:catAx>
        <c:axId val="45120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lv-LV"/>
                  <a:t>nedēļas</a:t>
                </a:r>
              </a:p>
            </c:rich>
          </c:tx>
          <c:layout>
            <c:manualLayout>
              <c:xMode val="edge"/>
              <c:yMode val="edge"/>
              <c:x val="0.48342245989304811"/>
              <c:y val="0.89402865717699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512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27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lv-LV"/>
                  <a:t>kg</a:t>
                </a:r>
              </a:p>
            </c:rich>
          </c:tx>
          <c:layout>
            <c:manualLayout>
              <c:xMode val="edge"/>
              <c:yMode val="edge"/>
              <c:x val="5.3475935828877002E-3"/>
              <c:y val="0.448941114487585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5120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203208556149732"/>
          <c:y val="0.92871080336058554"/>
          <c:w val="0.49732620320855614"/>
          <c:h val="5.78035769726505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/>
              <a:t>Laktāciju līknes un to salīdzinājums Slaucamām govīm</a:t>
            </a:r>
          </a:p>
        </c:rich>
      </c:tx>
      <c:layout>
        <c:manualLayout>
          <c:xMode val="edge"/>
          <c:yMode val="edge"/>
          <c:x val="0.24385026737967913"/>
          <c:y val="2.89017884863252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614973262032089E-2"/>
          <c:y val="0.1001928667525943"/>
          <c:w val="0.91336898395721922"/>
          <c:h val="0.73410542755266206"/>
        </c:manualLayout>
      </c:layout>
      <c:barChart>
        <c:barDir val="col"/>
        <c:grouping val="clustered"/>
        <c:varyColors val="0"/>
        <c:ser>
          <c:idx val="2"/>
          <c:order val="2"/>
          <c:tx>
            <c:v>Zaudējumi, kg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'Slauc govis (2)'!$B$4:$AS$4</c:f>
              <c:numCache>
                <c:formatCode>General</c:formatCode>
                <c:ptCount val="44"/>
                <c:pt idx="0">
                  <c:v>0</c:v>
                </c:pt>
                <c:pt idx="1">
                  <c:v>0</c:v>
                </c:pt>
                <c:pt idx="2" formatCode="0.0">
                  <c:v>0</c:v>
                </c:pt>
                <c:pt idx="3" formatCode="0.0">
                  <c:v>0</c:v>
                </c:pt>
                <c:pt idx="4" formatCode="0.0">
                  <c:v>0</c:v>
                </c:pt>
                <c:pt idx="5" formatCode="0.0">
                  <c:v>0</c:v>
                </c:pt>
                <c:pt idx="6" formatCode="0.0">
                  <c:v>0</c:v>
                </c:pt>
                <c:pt idx="7" formatCode="0.0">
                  <c:v>0</c:v>
                </c:pt>
                <c:pt idx="8" formatCode="0.0">
                  <c:v>0</c:v>
                </c:pt>
                <c:pt idx="9" formatCode="0.0">
                  <c:v>0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 formatCode="0.0">
                  <c:v>0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  <c:pt idx="30" formatCode="0.0">
                  <c:v>0</c:v>
                </c:pt>
                <c:pt idx="31" formatCode="0.0">
                  <c:v>0</c:v>
                </c:pt>
                <c:pt idx="32" formatCode="0.0">
                  <c:v>0</c:v>
                </c:pt>
                <c:pt idx="33" formatCode="0.0">
                  <c:v>0</c:v>
                </c:pt>
                <c:pt idx="34" formatCode="0.0">
                  <c:v>0</c:v>
                </c:pt>
                <c:pt idx="35" formatCode="0.0">
                  <c:v>0</c:v>
                </c:pt>
                <c:pt idx="36" formatCode="0.0">
                  <c:v>0</c:v>
                </c:pt>
                <c:pt idx="37" formatCode="0.0">
                  <c:v>0</c:v>
                </c:pt>
                <c:pt idx="38" formatCode="0.0">
                  <c:v>0</c:v>
                </c:pt>
                <c:pt idx="39" formatCode="0.0">
                  <c:v>0</c:v>
                </c:pt>
                <c:pt idx="40" formatCode="0.0">
                  <c:v>0</c:v>
                </c:pt>
                <c:pt idx="41" formatCode="0.0">
                  <c:v>0</c:v>
                </c:pt>
                <c:pt idx="42" formatCode="0.0">
                  <c:v>0</c:v>
                </c:pt>
                <c:pt idx="43" formatCode="0.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1C-4CD6-9594-A9D4EB590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06528"/>
        <c:axId val="45213568"/>
      </c:barChart>
      <c:lineChart>
        <c:grouping val="standard"/>
        <c:varyColors val="0"/>
        <c:ser>
          <c:idx val="0"/>
          <c:order val="0"/>
          <c:tx>
            <c:v>Standarta līkne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'Slauc govis (2)'!$B$2:$AS$2</c:f>
              <c:numCache>
                <c:formatCode>0.0</c:formatCode>
                <c:ptCount val="44"/>
                <c:pt idx="0">
                  <c:v>19</c:v>
                </c:pt>
                <c:pt idx="1">
                  <c:v>25</c:v>
                </c:pt>
                <c:pt idx="2">
                  <c:v>27.999999999999996</c:v>
                </c:pt>
                <c:pt idx="3">
                  <c:v>30.999999999999993</c:v>
                </c:pt>
                <c:pt idx="4">
                  <c:v>32</c:v>
                </c:pt>
                <c:pt idx="5">
                  <c:v>32.500000000000007</c:v>
                </c:pt>
                <c:pt idx="6">
                  <c:v>32.1</c:v>
                </c:pt>
                <c:pt idx="7">
                  <c:v>31.300000000000018</c:v>
                </c:pt>
                <c:pt idx="8">
                  <c:v>30.70000000000001</c:v>
                </c:pt>
                <c:pt idx="9">
                  <c:v>30.000000000000011</c:v>
                </c:pt>
                <c:pt idx="10">
                  <c:v>29.375</c:v>
                </c:pt>
                <c:pt idx="11">
                  <c:v>28.750000000000011</c:v>
                </c:pt>
                <c:pt idx="12">
                  <c:v>28.124999999999996</c:v>
                </c:pt>
                <c:pt idx="13">
                  <c:v>27.500000000000004</c:v>
                </c:pt>
                <c:pt idx="14">
                  <c:v>26.874999999999996</c:v>
                </c:pt>
                <c:pt idx="15">
                  <c:v>26.250000000000011</c:v>
                </c:pt>
                <c:pt idx="16">
                  <c:v>25.625</c:v>
                </c:pt>
                <c:pt idx="17">
                  <c:v>25</c:v>
                </c:pt>
                <c:pt idx="18">
                  <c:v>24.374999999999897</c:v>
                </c:pt>
                <c:pt idx="19">
                  <c:v>23.749999999999968</c:v>
                </c:pt>
                <c:pt idx="20">
                  <c:v>23.125000000000021</c:v>
                </c:pt>
                <c:pt idx="21">
                  <c:v>22.500000000000021</c:v>
                </c:pt>
                <c:pt idx="22">
                  <c:v>21.875000000000057</c:v>
                </c:pt>
                <c:pt idx="23">
                  <c:v>21.250000000000075</c:v>
                </c:pt>
                <c:pt idx="24">
                  <c:v>20.625000000000036</c:v>
                </c:pt>
                <c:pt idx="25">
                  <c:v>20</c:v>
                </c:pt>
                <c:pt idx="26">
                  <c:v>19.375000000000021</c:v>
                </c:pt>
                <c:pt idx="27">
                  <c:v>18.750000000000046</c:v>
                </c:pt>
                <c:pt idx="28">
                  <c:v>18.12499999999995</c:v>
                </c:pt>
                <c:pt idx="29">
                  <c:v>17.499999999999982</c:v>
                </c:pt>
                <c:pt idx="30">
                  <c:v>16.875000000000018</c:v>
                </c:pt>
                <c:pt idx="31">
                  <c:v>16.249999999999982</c:v>
                </c:pt>
                <c:pt idx="32">
                  <c:v>15.625</c:v>
                </c:pt>
                <c:pt idx="33">
                  <c:v>14.99999999999997</c:v>
                </c:pt>
                <c:pt idx="34">
                  <c:v>14.374999999999989</c:v>
                </c:pt>
                <c:pt idx="35">
                  <c:v>13.749999999999988</c:v>
                </c:pt>
                <c:pt idx="36">
                  <c:v>13.125000000000032</c:v>
                </c:pt>
                <c:pt idx="37">
                  <c:v>12.5</c:v>
                </c:pt>
                <c:pt idx="38">
                  <c:v>11.874999999999984</c:v>
                </c:pt>
                <c:pt idx="39">
                  <c:v>11.250000000000011</c:v>
                </c:pt>
                <c:pt idx="40">
                  <c:v>10.624999999999991</c:v>
                </c:pt>
                <c:pt idx="41">
                  <c:v>10</c:v>
                </c:pt>
                <c:pt idx="42">
                  <c:v>9.3749999999999876</c:v>
                </c:pt>
                <c:pt idx="43">
                  <c:v>8.7499999999999911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1C-4CD6-9594-A9D4EB590931}"/>
            </c:ext>
          </c:extLst>
        </c:ser>
        <c:ser>
          <c:idx val="1"/>
          <c:order val="1"/>
          <c:tx>
            <c:v>Reālā līkne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'Slauc govis (2)'!$B$3:$AS$3</c:f>
              <c:numCache>
                <c:formatCode>0.0</c:formatCode>
                <c:ptCount val="44"/>
                <c:pt idx="0">
                  <c:v>19</c:v>
                </c:pt>
                <c:pt idx="1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91C-4CD6-9594-A9D4EB590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06528"/>
        <c:axId val="45213568"/>
      </c:lineChart>
      <c:catAx>
        <c:axId val="45206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lv-LV"/>
                  <a:t>nedēļas</a:t>
                </a:r>
              </a:p>
            </c:rich>
          </c:tx>
          <c:layout>
            <c:manualLayout>
              <c:xMode val="edge"/>
              <c:yMode val="edge"/>
              <c:x val="0.48342245989304811"/>
              <c:y val="0.89402865717699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5213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13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lv-LV"/>
                  <a:t>kg</a:t>
                </a:r>
              </a:p>
            </c:rich>
          </c:tx>
          <c:layout>
            <c:manualLayout>
              <c:xMode val="edge"/>
              <c:yMode val="edge"/>
              <c:x val="5.3475935828877002E-3"/>
              <c:y val="0.448941114487585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5206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203208556149732"/>
          <c:y val="0.92871080336058554"/>
          <c:w val="0.49732620320855614"/>
          <c:h val="5.78035769726505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/>
              <a:t>Laktāciju līknes un to salīdzinājums Slaucamām govīm</a:t>
            </a:r>
          </a:p>
        </c:rich>
      </c:tx>
      <c:layout>
        <c:manualLayout>
          <c:xMode val="edge"/>
          <c:yMode val="edge"/>
          <c:x val="0.24385026737967913"/>
          <c:y val="2.89017884863252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614973262032089E-2"/>
          <c:y val="0.1001928667525943"/>
          <c:w val="0.91336898395721922"/>
          <c:h val="0.73410542755266206"/>
        </c:manualLayout>
      </c:layout>
      <c:barChart>
        <c:barDir val="col"/>
        <c:grouping val="clustered"/>
        <c:varyColors val="0"/>
        <c:ser>
          <c:idx val="2"/>
          <c:order val="2"/>
          <c:tx>
            <c:v>Zaudējumi, kg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'Slauc govis (3)'!$B$4:$AS$4</c:f>
              <c:numCache>
                <c:formatCode>General</c:formatCode>
                <c:ptCount val="44"/>
                <c:pt idx="0">
                  <c:v>0</c:v>
                </c:pt>
                <c:pt idx="1">
                  <c:v>0</c:v>
                </c:pt>
                <c:pt idx="2" formatCode="0.0">
                  <c:v>0</c:v>
                </c:pt>
                <c:pt idx="3" formatCode="0.0">
                  <c:v>0</c:v>
                </c:pt>
                <c:pt idx="4" formatCode="0.0">
                  <c:v>0</c:v>
                </c:pt>
                <c:pt idx="5" formatCode="0.0">
                  <c:v>0</c:v>
                </c:pt>
                <c:pt idx="6" formatCode="0.0">
                  <c:v>0</c:v>
                </c:pt>
                <c:pt idx="7" formatCode="0.0">
                  <c:v>0</c:v>
                </c:pt>
                <c:pt idx="8" formatCode="0.0">
                  <c:v>0</c:v>
                </c:pt>
                <c:pt idx="9" formatCode="0.0">
                  <c:v>0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 formatCode="0.0">
                  <c:v>0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  <c:pt idx="30" formatCode="0.0">
                  <c:v>0</c:v>
                </c:pt>
                <c:pt idx="31" formatCode="0.0">
                  <c:v>0</c:v>
                </c:pt>
                <c:pt idx="32" formatCode="0.0">
                  <c:v>0</c:v>
                </c:pt>
                <c:pt idx="33" formatCode="0.0">
                  <c:v>0</c:v>
                </c:pt>
                <c:pt idx="34" formatCode="0.0">
                  <c:v>0</c:v>
                </c:pt>
                <c:pt idx="35" formatCode="0.0">
                  <c:v>0</c:v>
                </c:pt>
                <c:pt idx="36" formatCode="0.0">
                  <c:v>0</c:v>
                </c:pt>
                <c:pt idx="37" formatCode="0.0">
                  <c:v>0</c:v>
                </c:pt>
                <c:pt idx="38" formatCode="0.0">
                  <c:v>0</c:v>
                </c:pt>
                <c:pt idx="39" formatCode="0.0">
                  <c:v>0</c:v>
                </c:pt>
                <c:pt idx="40" formatCode="0.0">
                  <c:v>0</c:v>
                </c:pt>
                <c:pt idx="41" formatCode="0.0">
                  <c:v>0</c:v>
                </c:pt>
                <c:pt idx="42" formatCode="0.0">
                  <c:v>0</c:v>
                </c:pt>
                <c:pt idx="43" formatCode="0.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5-4394-A0FA-0233C176B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27968"/>
        <c:axId val="45830912"/>
      </c:barChart>
      <c:lineChart>
        <c:grouping val="standard"/>
        <c:varyColors val="0"/>
        <c:ser>
          <c:idx val="0"/>
          <c:order val="0"/>
          <c:tx>
            <c:v>Standarta līkne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'Slauc govis (3)'!$B$2:$AS$2</c:f>
              <c:numCache>
                <c:formatCode>0.0</c:formatCode>
                <c:ptCount val="44"/>
                <c:pt idx="0">
                  <c:v>19</c:v>
                </c:pt>
                <c:pt idx="1">
                  <c:v>25</c:v>
                </c:pt>
                <c:pt idx="2">
                  <c:v>27.999999999999996</c:v>
                </c:pt>
                <c:pt idx="3">
                  <c:v>30.999999999999993</c:v>
                </c:pt>
                <c:pt idx="4">
                  <c:v>32</c:v>
                </c:pt>
                <c:pt idx="5">
                  <c:v>32.500000000000007</c:v>
                </c:pt>
                <c:pt idx="6">
                  <c:v>32.1</c:v>
                </c:pt>
                <c:pt idx="7">
                  <c:v>31.300000000000018</c:v>
                </c:pt>
                <c:pt idx="8">
                  <c:v>30.70000000000001</c:v>
                </c:pt>
                <c:pt idx="9">
                  <c:v>30.000000000000011</c:v>
                </c:pt>
                <c:pt idx="10">
                  <c:v>29.375</c:v>
                </c:pt>
                <c:pt idx="11">
                  <c:v>28.750000000000011</c:v>
                </c:pt>
                <c:pt idx="12">
                  <c:v>28.124999999999996</c:v>
                </c:pt>
                <c:pt idx="13">
                  <c:v>27.500000000000004</c:v>
                </c:pt>
                <c:pt idx="14">
                  <c:v>26.874999999999996</c:v>
                </c:pt>
                <c:pt idx="15">
                  <c:v>26.250000000000011</c:v>
                </c:pt>
                <c:pt idx="16">
                  <c:v>25.625</c:v>
                </c:pt>
                <c:pt idx="17">
                  <c:v>25</c:v>
                </c:pt>
                <c:pt idx="18">
                  <c:v>24.374999999999897</c:v>
                </c:pt>
                <c:pt idx="19">
                  <c:v>23.749999999999968</c:v>
                </c:pt>
                <c:pt idx="20">
                  <c:v>23.125000000000021</c:v>
                </c:pt>
                <c:pt idx="21">
                  <c:v>22.500000000000021</c:v>
                </c:pt>
                <c:pt idx="22">
                  <c:v>21.875000000000057</c:v>
                </c:pt>
                <c:pt idx="23">
                  <c:v>21.250000000000075</c:v>
                </c:pt>
                <c:pt idx="24">
                  <c:v>20.625000000000036</c:v>
                </c:pt>
                <c:pt idx="25">
                  <c:v>20</c:v>
                </c:pt>
                <c:pt idx="26">
                  <c:v>19.375000000000021</c:v>
                </c:pt>
                <c:pt idx="27">
                  <c:v>18.750000000000046</c:v>
                </c:pt>
                <c:pt idx="28">
                  <c:v>18.12499999999995</c:v>
                </c:pt>
                <c:pt idx="29">
                  <c:v>17.499999999999982</c:v>
                </c:pt>
                <c:pt idx="30">
                  <c:v>16.875000000000018</c:v>
                </c:pt>
                <c:pt idx="31">
                  <c:v>16.249999999999982</c:v>
                </c:pt>
                <c:pt idx="32">
                  <c:v>15.625</c:v>
                </c:pt>
                <c:pt idx="33">
                  <c:v>14.99999999999997</c:v>
                </c:pt>
                <c:pt idx="34">
                  <c:v>14.374999999999989</c:v>
                </c:pt>
                <c:pt idx="35">
                  <c:v>13.749999999999988</c:v>
                </c:pt>
                <c:pt idx="36">
                  <c:v>13.125000000000032</c:v>
                </c:pt>
                <c:pt idx="37">
                  <c:v>12.5</c:v>
                </c:pt>
                <c:pt idx="38">
                  <c:v>11.874999999999984</c:v>
                </c:pt>
                <c:pt idx="39">
                  <c:v>11.250000000000011</c:v>
                </c:pt>
                <c:pt idx="40">
                  <c:v>10.624999999999991</c:v>
                </c:pt>
                <c:pt idx="41">
                  <c:v>10</c:v>
                </c:pt>
                <c:pt idx="42">
                  <c:v>9.3749999999999876</c:v>
                </c:pt>
                <c:pt idx="43">
                  <c:v>8.7499999999999911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75-4394-A0FA-0233C176B3B0}"/>
            </c:ext>
          </c:extLst>
        </c:ser>
        <c:ser>
          <c:idx val="1"/>
          <c:order val="1"/>
          <c:tx>
            <c:v>Reālā līkne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'Slauc govis (3)'!$B$3:$AS$3</c:f>
              <c:numCache>
                <c:formatCode>0.0</c:formatCode>
                <c:ptCount val="44"/>
                <c:pt idx="0">
                  <c:v>19</c:v>
                </c:pt>
                <c:pt idx="1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475-4394-A0FA-0233C176B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27968"/>
        <c:axId val="45830912"/>
      </c:lineChart>
      <c:catAx>
        <c:axId val="4582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lv-LV"/>
                  <a:t>nedēļas</a:t>
                </a:r>
              </a:p>
            </c:rich>
          </c:tx>
          <c:layout>
            <c:manualLayout>
              <c:xMode val="edge"/>
              <c:yMode val="edge"/>
              <c:x val="0.48342245989304811"/>
              <c:y val="0.89402865717699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583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83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lv-LV"/>
                  <a:t>kg</a:t>
                </a:r>
              </a:p>
            </c:rich>
          </c:tx>
          <c:layout>
            <c:manualLayout>
              <c:xMode val="edge"/>
              <c:yMode val="edge"/>
              <c:x val="5.3475935828877002E-3"/>
              <c:y val="0.448941114487585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5827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203208556149732"/>
          <c:y val="0.92871080336058554"/>
          <c:w val="0.49732620320855614"/>
          <c:h val="5.78035769726505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/>
              <a:t>Laktāciju līknes un to salīdzinājums Slaucamām govīm</a:t>
            </a:r>
          </a:p>
        </c:rich>
      </c:tx>
      <c:layout>
        <c:manualLayout>
          <c:xMode val="edge"/>
          <c:yMode val="edge"/>
          <c:x val="0.24385026737967913"/>
          <c:y val="2.89017884863252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614973262032089E-2"/>
          <c:y val="0.1001928667525943"/>
          <c:w val="0.91336898395721922"/>
          <c:h val="0.73410542755266206"/>
        </c:manualLayout>
      </c:layout>
      <c:barChart>
        <c:barDir val="col"/>
        <c:grouping val="clustered"/>
        <c:varyColors val="0"/>
        <c:ser>
          <c:idx val="2"/>
          <c:order val="2"/>
          <c:tx>
            <c:v>Zaudējumi, kg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'Slauc govis (4)'!$B$4:$AS$4</c:f>
              <c:numCache>
                <c:formatCode>General</c:formatCode>
                <c:ptCount val="44"/>
                <c:pt idx="0">
                  <c:v>0</c:v>
                </c:pt>
                <c:pt idx="1">
                  <c:v>0</c:v>
                </c:pt>
                <c:pt idx="2" formatCode="0.0">
                  <c:v>0</c:v>
                </c:pt>
                <c:pt idx="3" formatCode="0.0">
                  <c:v>0</c:v>
                </c:pt>
                <c:pt idx="4" formatCode="0.0">
                  <c:v>0</c:v>
                </c:pt>
                <c:pt idx="5" formatCode="0.0">
                  <c:v>0</c:v>
                </c:pt>
                <c:pt idx="6" formatCode="0.0">
                  <c:v>0</c:v>
                </c:pt>
                <c:pt idx="7" formatCode="0.0">
                  <c:v>0</c:v>
                </c:pt>
                <c:pt idx="8" formatCode="0.0">
                  <c:v>0</c:v>
                </c:pt>
                <c:pt idx="9" formatCode="0.0">
                  <c:v>0</c:v>
                </c:pt>
                <c:pt idx="10" formatCode="0.0">
                  <c:v>0</c:v>
                </c:pt>
                <c:pt idx="11" formatCode="0.0">
                  <c:v>0</c:v>
                </c:pt>
                <c:pt idx="12" formatCode="0.0">
                  <c:v>0</c:v>
                </c:pt>
                <c:pt idx="13" formatCode="0.0">
                  <c:v>0</c:v>
                </c:pt>
                <c:pt idx="14" formatCode="0.0">
                  <c:v>0</c:v>
                </c:pt>
                <c:pt idx="15" formatCode="0.0">
                  <c:v>0</c:v>
                </c:pt>
                <c:pt idx="16" formatCode="0.0">
                  <c:v>0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  <c:pt idx="30" formatCode="0.0">
                  <c:v>0</c:v>
                </c:pt>
                <c:pt idx="31" formatCode="0.0">
                  <c:v>0</c:v>
                </c:pt>
                <c:pt idx="32" formatCode="0.0">
                  <c:v>0</c:v>
                </c:pt>
                <c:pt idx="33" formatCode="0.0">
                  <c:v>0</c:v>
                </c:pt>
                <c:pt idx="34" formatCode="0.0">
                  <c:v>0</c:v>
                </c:pt>
                <c:pt idx="35" formatCode="0.0">
                  <c:v>0</c:v>
                </c:pt>
                <c:pt idx="36" formatCode="0.0">
                  <c:v>0</c:v>
                </c:pt>
                <c:pt idx="37" formatCode="0.0">
                  <c:v>0</c:v>
                </c:pt>
                <c:pt idx="38" formatCode="0.0">
                  <c:v>0</c:v>
                </c:pt>
                <c:pt idx="39" formatCode="0.0">
                  <c:v>0</c:v>
                </c:pt>
                <c:pt idx="40" formatCode="0.0">
                  <c:v>0</c:v>
                </c:pt>
                <c:pt idx="41" formatCode="0.0">
                  <c:v>0</c:v>
                </c:pt>
                <c:pt idx="42" formatCode="0.0">
                  <c:v>0</c:v>
                </c:pt>
                <c:pt idx="43" formatCode="0.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5C-469A-93BE-7E28E3039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62720"/>
        <c:axId val="45277952"/>
      </c:barChart>
      <c:lineChart>
        <c:grouping val="standard"/>
        <c:varyColors val="0"/>
        <c:ser>
          <c:idx val="0"/>
          <c:order val="0"/>
          <c:tx>
            <c:v>Standarta līkne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'Slauc govis (4)'!$B$2:$AS$2</c:f>
              <c:numCache>
                <c:formatCode>0.0</c:formatCode>
                <c:ptCount val="44"/>
                <c:pt idx="0">
                  <c:v>19</c:v>
                </c:pt>
                <c:pt idx="1">
                  <c:v>25</c:v>
                </c:pt>
                <c:pt idx="2">
                  <c:v>27.999999999999996</c:v>
                </c:pt>
                <c:pt idx="3">
                  <c:v>30.999999999999993</c:v>
                </c:pt>
                <c:pt idx="4">
                  <c:v>32</c:v>
                </c:pt>
                <c:pt idx="5">
                  <c:v>32.500000000000007</c:v>
                </c:pt>
                <c:pt idx="6">
                  <c:v>32.1</c:v>
                </c:pt>
                <c:pt idx="7">
                  <c:v>31.300000000000018</c:v>
                </c:pt>
                <c:pt idx="8">
                  <c:v>30.70000000000001</c:v>
                </c:pt>
                <c:pt idx="9">
                  <c:v>30.000000000000011</c:v>
                </c:pt>
                <c:pt idx="10">
                  <c:v>29.375</c:v>
                </c:pt>
                <c:pt idx="11">
                  <c:v>28.750000000000011</c:v>
                </c:pt>
                <c:pt idx="12">
                  <c:v>28.124999999999996</c:v>
                </c:pt>
                <c:pt idx="13">
                  <c:v>27.500000000000004</c:v>
                </c:pt>
                <c:pt idx="14">
                  <c:v>26.874999999999996</c:v>
                </c:pt>
                <c:pt idx="15">
                  <c:v>26.250000000000011</c:v>
                </c:pt>
                <c:pt idx="16">
                  <c:v>25.625</c:v>
                </c:pt>
                <c:pt idx="17">
                  <c:v>25</c:v>
                </c:pt>
                <c:pt idx="18">
                  <c:v>24.374999999999897</c:v>
                </c:pt>
                <c:pt idx="19">
                  <c:v>23.749999999999968</c:v>
                </c:pt>
                <c:pt idx="20">
                  <c:v>23.125000000000021</c:v>
                </c:pt>
                <c:pt idx="21">
                  <c:v>22.500000000000021</c:v>
                </c:pt>
                <c:pt idx="22">
                  <c:v>21.875000000000057</c:v>
                </c:pt>
                <c:pt idx="23">
                  <c:v>21.250000000000075</c:v>
                </c:pt>
                <c:pt idx="24">
                  <c:v>20.625000000000036</c:v>
                </c:pt>
                <c:pt idx="25">
                  <c:v>20</c:v>
                </c:pt>
                <c:pt idx="26">
                  <c:v>19.375000000000021</c:v>
                </c:pt>
                <c:pt idx="27">
                  <c:v>18.750000000000046</c:v>
                </c:pt>
                <c:pt idx="28">
                  <c:v>18.12499999999995</c:v>
                </c:pt>
                <c:pt idx="29">
                  <c:v>17.499999999999982</c:v>
                </c:pt>
                <c:pt idx="30">
                  <c:v>16.875000000000018</c:v>
                </c:pt>
                <c:pt idx="31">
                  <c:v>16.249999999999982</c:v>
                </c:pt>
                <c:pt idx="32">
                  <c:v>15.625</c:v>
                </c:pt>
                <c:pt idx="33">
                  <c:v>14.99999999999997</c:v>
                </c:pt>
                <c:pt idx="34">
                  <c:v>14.374999999999989</c:v>
                </c:pt>
                <c:pt idx="35">
                  <c:v>13.749999999999988</c:v>
                </c:pt>
                <c:pt idx="36">
                  <c:v>13.125000000000032</c:v>
                </c:pt>
                <c:pt idx="37">
                  <c:v>12.5</c:v>
                </c:pt>
                <c:pt idx="38">
                  <c:v>11.874999999999984</c:v>
                </c:pt>
                <c:pt idx="39">
                  <c:v>11.250000000000011</c:v>
                </c:pt>
                <c:pt idx="40">
                  <c:v>10.624999999999991</c:v>
                </c:pt>
                <c:pt idx="41">
                  <c:v>10</c:v>
                </c:pt>
                <c:pt idx="42">
                  <c:v>9.3749999999999876</c:v>
                </c:pt>
                <c:pt idx="43">
                  <c:v>8.7499999999999911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5C-469A-93BE-7E28E303983D}"/>
            </c:ext>
          </c:extLst>
        </c:ser>
        <c:ser>
          <c:idx val="1"/>
          <c:order val="1"/>
          <c:tx>
            <c:v>Reālā līkne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'Slauc govis (4)'!$B$3:$AS$3</c:f>
              <c:numCache>
                <c:formatCode>0.0</c:formatCode>
                <c:ptCount val="44"/>
                <c:pt idx="0">
                  <c:v>19</c:v>
                </c:pt>
                <c:pt idx="1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D5C-469A-93BE-7E28E3039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62720"/>
        <c:axId val="45277952"/>
      </c:lineChart>
      <c:catAx>
        <c:axId val="45262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lv-LV"/>
                  <a:t>nedēļas</a:t>
                </a:r>
              </a:p>
            </c:rich>
          </c:tx>
          <c:layout>
            <c:manualLayout>
              <c:xMode val="edge"/>
              <c:yMode val="edge"/>
              <c:x val="0.48342245989304811"/>
              <c:y val="0.89402865717699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527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77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lv-LV"/>
                  <a:t>kg</a:t>
                </a:r>
              </a:p>
            </c:rich>
          </c:tx>
          <c:layout>
            <c:manualLayout>
              <c:xMode val="edge"/>
              <c:yMode val="edge"/>
              <c:x val="5.3475935828877002E-3"/>
              <c:y val="0.448941114487585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45262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203208556149732"/>
          <c:y val="0.92871080336058554"/>
          <c:w val="0.49732620320855614"/>
          <c:h val="5.78035769726505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6</xdr:row>
      <xdr:rowOff>19050</xdr:rowOff>
    </xdr:from>
    <xdr:to>
      <xdr:col>21</xdr:col>
      <xdr:colOff>309033</xdr:colOff>
      <xdr:row>37</xdr:row>
      <xdr:rowOff>66675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6</xdr:row>
      <xdr:rowOff>19050</xdr:rowOff>
    </xdr:from>
    <xdr:to>
      <xdr:col>21</xdr:col>
      <xdr:colOff>309033</xdr:colOff>
      <xdr:row>37</xdr:row>
      <xdr:rowOff>66675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6</xdr:row>
      <xdr:rowOff>19050</xdr:rowOff>
    </xdr:from>
    <xdr:to>
      <xdr:col>21</xdr:col>
      <xdr:colOff>309033</xdr:colOff>
      <xdr:row>37</xdr:row>
      <xdr:rowOff>66675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21</xdr:col>
      <xdr:colOff>152400</xdr:colOff>
      <xdr:row>36</xdr:row>
      <xdr:rowOff>85725</xdr:rowOff>
    </xdr:to>
    <xdr:graphicFrame macro="">
      <xdr:nvGraphicFramePr>
        <xdr:cNvPr id="20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21</xdr:col>
      <xdr:colOff>152400</xdr:colOff>
      <xdr:row>36</xdr:row>
      <xdr:rowOff>85725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21</xdr:col>
      <xdr:colOff>152400</xdr:colOff>
      <xdr:row>36</xdr:row>
      <xdr:rowOff>85725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21</xdr:col>
      <xdr:colOff>152400</xdr:colOff>
      <xdr:row>36</xdr:row>
      <xdr:rowOff>85725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S6"/>
  <sheetViews>
    <sheetView zoomScale="90" workbookViewId="0">
      <selection activeCell="C2" sqref="C2"/>
    </sheetView>
  </sheetViews>
  <sheetFormatPr defaultRowHeight="12.75" x14ac:dyDescent="0.2"/>
  <cols>
    <col min="1" max="1" width="16.7109375" customWidth="1"/>
    <col min="2" max="2" width="5.7109375" customWidth="1"/>
    <col min="3" max="3" width="5.7109375" style="11" customWidth="1"/>
    <col min="4" max="6" width="5.7109375" customWidth="1"/>
    <col min="7" max="7" width="5.7109375" style="11" customWidth="1"/>
    <col min="8" max="10" width="5.7109375" customWidth="1"/>
    <col min="11" max="11" width="5.7109375" style="11" customWidth="1"/>
    <col min="12" max="14" width="5.7109375" customWidth="1"/>
    <col min="15" max="15" width="5.7109375" style="11" customWidth="1"/>
    <col min="16" max="18" width="5.7109375" customWidth="1"/>
    <col min="19" max="19" width="5.7109375" style="11" customWidth="1"/>
    <col min="20" max="22" width="5.7109375" customWidth="1"/>
    <col min="23" max="23" width="5.7109375" style="11" customWidth="1"/>
    <col min="24" max="26" width="5.7109375" customWidth="1"/>
    <col min="27" max="27" width="5.7109375" style="11" customWidth="1"/>
    <col min="28" max="30" width="5.7109375" customWidth="1"/>
    <col min="31" max="31" width="5.7109375" style="11" customWidth="1"/>
    <col min="32" max="34" width="5.7109375" customWidth="1"/>
    <col min="35" max="35" width="5.7109375" style="11" customWidth="1"/>
    <col min="36" max="38" width="5.7109375" customWidth="1"/>
    <col min="39" max="39" width="5.7109375" style="11" customWidth="1"/>
    <col min="40" max="42" width="5.7109375" customWidth="1"/>
    <col min="43" max="43" width="5.7109375" style="11" customWidth="1"/>
    <col min="44" max="45" width="5.7109375" customWidth="1"/>
  </cols>
  <sheetData>
    <row r="1" spans="1:45" x14ac:dyDescent="0.2">
      <c r="A1" s="1" t="s">
        <v>7</v>
      </c>
      <c r="B1" s="1">
        <v>1</v>
      </c>
      <c r="C1" s="8">
        <v>2</v>
      </c>
      <c r="D1" s="1">
        <v>3</v>
      </c>
      <c r="E1" s="1">
        <v>4</v>
      </c>
      <c r="F1" s="1">
        <v>5</v>
      </c>
      <c r="G1" s="8">
        <v>6</v>
      </c>
      <c r="H1" s="1">
        <v>7</v>
      </c>
      <c r="I1" s="1">
        <v>8</v>
      </c>
      <c r="J1" s="1">
        <v>9</v>
      </c>
      <c r="K1" s="8">
        <v>10</v>
      </c>
      <c r="L1" s="1">
        <v>11</v>
      </c>
      <c r="M1" s="1">
        <v>12</v>
      </c>
      <c r="N1" s="1">
        <v>13</v>
      </c>
      <c r="O1" s="8">
        <v>14</v>
      </c>
      <c r="P1" s="1">
        <v>15</v>
      </c>
      <c r="Q1" s="1">
        <v>16</v>
      </c>
      <c r="R1" s="1">
        <v>17</v>
      </c>
      <c r="S1" s="8">
        <v>18</v>
      </c>
      <c r="T1" s="1">
        <v>19</v>
      </c>
      <c r="U1" s="1">
        <v>20</v>
      </c>
      <c r="V1" s="1">
        <v>21</v>
      </c>
      <c r="W1" s="8">
        <v>22</v>
      </c>
      <c r="X1" s="1">
        <v>23</v>
      </c>
      <c r="Y1" s="1">
        <v>24</v>
      </c>
      <c r="Z1" s="1">
        <v>25</v>
      </c>
      <c r="AA1" s="8">
        <v>26</v>
      </c>
      <c r="AB1" s="1">
        <v>27</v>
      </c>
      <c r="AC1" s="1">
        <v>28</v>
      </c>
      <c r="AD1" s="1">
        <v>29</v>
      </c>
      <c r="AE1" s="8">
        <v>30</v>
      </c>
      <c r="AF1" s="1">
        <v>31</v>
      </c>
      <c r="AG1" s="1">
        <v>32</v>
      </c>
      <c r="AH1" s="1">
        <v>33</v>
      </c>
      <c r="AI1" s="8">
        <v>34</v>
      </c>
      <c r="AJ1" s="1">
        <v>35</v>
      </c>
      <c r="AK1" s="1">
        <v>36</v>
      </c>
      <c r="AL1" s="1">
        <v>37</v>
      </c>
      <c r="AM1" s="8">
        <v>38</v>
      </c>
      <c r="AN1" s="1">
        <v>39</v>
      </c>
      <c r="AO1" s="1">
        <v>40</v>
      </c>
      <c r="AP1" s="1">
        <v>41</v>
      </c>
      <c r="AQ1" s="8">
        <v>42</v>
      </c>
      <c r="AR1" s="1">
        <v>43</v>
      </c>
      <c r="AS1" s="1">
        <v>44</v>
      </c>
    </row>
    <row r="2" spans="1:45" x14ac:dyDescent="0.2">
      <c r="A2" s="1" t="s">
        <v>3</v>
      </c>
      <c r="B2" s="6">
        <f>B3</f>
        <v>32</v>
      </c>
      <c r="C2" s="9">
        <f>C3</f>
        <v>35</v>
      </c>
      <c r="D2" s="4">
        <f>$C$2/0.952380952380952</f>
        <v>36.750000000000014</v>
      </c>
      <c r="E2" s="4">
        <f>$C$2/0.888888888888889</f>
        <v>39.375</v>
      </c>
      <c r="F2" s="4">
        <f>$C$2/0.833333333333333</f>
        <v>42.000000000000014</v>
      </c>
      <c r="G2" s="12">
        <f>$C$2/0.8</f>
        <v>43.75</v>
      </c>
      <c r="H2" s="4">
        <f>$C$2/0.775193798449612</f>
        <v>45.15000000000002</v>
      </c>
      <c r="I2" s="4">
        <f>$C$2/0.763358778625954</f>
        <v>45.850000000000009</v>
      </c>
      <c r="J2" s="4">
        <f>$C$2/0.754716981132076</f>
        <v>46.374999999999972</v>
      </c>
      <c r="K2" s="12">
        <f>$C$2/0.75187969924812</f>
        <v>46.550000000000018</v>
      </c>
      <c r="L2" s="4">
        <f>$C$2/0.757575757575758</f>
        <v>46.199999999999974</v>
      </c>
      <c r="M2" s="4">
        <f>$C$2/0.766283524904214</f>
        <v>45.675000000000033</v>
      </c>
      <c r="N2" s="4">
        <f>$C$2/0.778210116731517</f>
        <v>44.97500000000003</v>
      </c>
      <c r="O2" s="12">
        <f>$C$2/0.790513833992095</f>
        <v>44.274999999999991</v>
      </c>
      <c r="P2" s="4">
        <f>$C$2/0.803212851405622</f>
        <v>43.575000000000024</v>
      </c>
      <c r="Q2" s="4">
        <f>$C$2/0.816326530612245</f>
        <v>42.874999999999993</v>
      </c>
      <c r="R2" s="4">
        <f>$C$2/0.829875518672199</f>
        <v>42.175000000000011</v>
      </c>
      <c r="S2" s="12">
        <f>$C$2/0.843881856540084</f>
        <v>41.475000000000023</v>
      </c>
      <c r="T2" s="4">
        <f>$C$2/0.858369098712446</f>
        <v>40.775000000000013</v>
      </c>
      <c r="U2" s="4">
        <f>$C$2/0.873362445414847</f>
        <v>40.07500000000001</v>
      </c>
      <c r="V2" s="4">
        <f>$C$2/0.888888888888888</f>
        <v>39.375000000000043</v>
      </c>
      <c r="W2" s="12">
        <f>$C$2/0.90497737556561</f>
        <v>38.67500000000004</v>
      </c>
      <c r="X2" s="4">
        <f>$C$2/0.921658986175114</f>
        <v>37.975000000000051</v>
      </c>
      <c r="Y2" s="4">
        <f>$C$2/0.938967136150234</f>
        <v>37.275000000000034</v>
      </c>
      <c r="Z2" s="4">
        <f>$C$2/0.956937799043061</f>
        <v>36.575000000000045</v>
      </c>
      <c r="AA2" s="12">
        <f>$C$2/0.97560975609756</f>
        <v>35.875000000000036</v>
      </c>
      <c r="AB2" s="4">
        <f>$C$2/0.995024875621889</f>
        <v>35.175000000000054</v>
      </c>
      <c r="AC2" s="4">
        <f>$C$2/1.01522842639594</f>
        <v>34.474999999999973</v>
      </c>
      <c r="AD2" s="4">
        <f>$C$2/1.03626943005181</f>
        <v>33.775000000000112</v>
      </c>
      <c r="AE2" s="12">
        <f>$C$2/1.05820105820106</f>
        <v>33.074999999999946</v>
      </c>
      <c r="AF2" s="4">
        <f>$C$2/1.08108108108108</f>
        <v>32.375000000000028</v>
      </c>
      <c r="AG2" s="4">
        <f>$C$2/1.10497237569061</f>
        <v>31.674999999999933</v>
      </c>
      <c r="AH2" s="4">
        <f>$C$2/1.12994350282486</f>
        <v>30.974999999999969</v>
      </c>
      <c r="AI2" s="12">
        <f>$C$2/1.15606936416185</f>
        <v>30.274999999999991</v>
      </c>
      <c r="AJ2" s="4">
        <f>$C$2/1.18343195266272</f>
        <v>29.575000000000049</v>
      </c>
      <c r="AK2" s="4">
        <f>$C$2/1.21212121212121</f>
        <v>28.875000000000053</v>
      </c>
      <c r="AL2" s="4">
        <f>$C$2/1.24223602484472</f>
        <v>28.175000000000011</v>
      </c>
      <c r="AM2" s="12">
        <f>$C$2/1.27388535031847</f>
        <v>27.47500000000003</v>
      </c>
      <c r="AN2" s="4">
        <f>$C$2/1.30718954248366</f>
        <v>26.775000000000006</v>
      </c>
      <c r="AO2" s="4">
        <f>$C$2/1.34228187919463</f>
        <v>26.075000000000017</v>
      </c>
      <c r="AP2" s="4">
        <f>$C$2/1.37931034482758</f>
        <v>25.375000000000114</v>
      </c>
      <c r="AQ2" s="12">
        <f>$C$2/1.41843971631205</f>
        <v>24.675000000000118</v>
      </c>
      <c r="AR2" s="4">
        <f>$C$2/1.45985401459854</f>
        <v>23.975000000000005</v>
      </c>
      <c r="AS2" s="4">
        <f>$C$2/1.50375939849624</f>
        <v>23.275000000000009</v>
      </c>
    </row>
    <row r="3" spans="1:45" x14ac:dyDescent="0.2">
      <c r="A3" s="1" t="s">
        <v>2</v>
      </c>
      <c r="B3" s="2">
        <v>32</v>
      </c>
      <c r="C3" s="10">
        <v>35</v>
      </c>
      <c r="D3" s="2"/>
      <c r="E3" s="2"/>
      <c r="F3" s="2"/>
      <c r="G3" s="10"/>
      <c r="H3" s="2"/>
      <c r="I3" s="2"/>
      <c r="J3" s="2"/>
      <c r="K3" s="10"/>
      <c r="L3" s="2"/>
      <c r="M3" s="2"/>
      <c r="N3" s="2"/>
      <c r="O3" s="10"/>
      <c r="P3" s="2"/>
      <c r="Q3" s="2"/>
      <c r="R3" s="2"/>
      <c r="S3" s="10"/>
      <c r="T3" s="2"/>
      <c r="U3" s="2"/>
      <c r="V3" s="2"/>
      <c r="W3" s="10"/>
      <c r="X3" s="2"/>
      <c r="Y3" s="2"/>
      <c r="Z3" s="2"/>
      <c r="AA3" s="10"/>
      <c r="AB3" s="2"/>
      <c r="AC3" s="2"/>
      <c r="AD3" s="2"/>
      <c r="AE3" s="10"/>
      <c r="AF3" s="2"/>
      <c r="AG3" s="2"/>
      <c r="AH3" s="2"/>
      <c r="AI3" s="10"/>
      <c r="AJ3" s="2"/>
      <c r="AK3" s="2"/>
      <c r="AL3" s="2"/>
      <c r="AM3" s="10"/>
      <c r="AN3" s="2"/>
      <c r="AO3" s="2"/>
      <c r="AP3" s="2"/>
      <c r="AQ3" s="10"/>
      <c r="AR3" s="2"/>
      <c r="AS3" s="2"/>
    </row>
    <row r="4" spans="1:45" x14ac:dyDescent="0.2">
      <c r="A4" s="1" t="s">
        <v>1</v>
      </c>
      <c r="B4" s="1">
        <v>0</v>
      </c>
      <c r="C4" s="8">
        <v>0</v>
      </c>
      <c r="D4" s="4">
        <f>IF(D3=0,0,(D2-D3)*7)</f>
        <v>0</v>
      </c>
      <c r="E4" s="4">
        <f t="shared" ref="E4:AS4" si="0">IF(E3=0,0,(E2-E3)*7)</f>
        <v>0</v>
      </c>
      <c r="F4" s="4">
        <f t="shared" si="0"/>
        <v>0</v>
      </c>
      <c r="G4" s="12">
        <f t="shared" si="0"/>
        <v>0</v>
      </c>
      <c r="H4" s="4">
        <f t="shared" si="0"/>
        <v>0</v>
      </c>
      <c r="I4" s="4">
        <f t="shared" si="0"/>
        <v>0</v>
      </c>
      <c r="J4" s="4">
        <f t="shared" si="0"/>
        <v>0</v>
      </c>
      <c r="K4" s="12">
        <f t="shared" si="0"/>
        <v>0</v>
      </c>
      <c r="L4" s="4">
        <f t="shared" si="0"/>
        <v>0</v>
      </c>
      <c r="M4" s="4">
        <f t="shared" si="0"/>
        <v>0</v>
      </c>
      <c r="N4" s="4">
        <f t="shared" si="0"/>
        <v>0</v>
      </c>
      <c r="O4" s="12">
        <f t="shared" si="0"/>
        <v>0</v>
      </c>
      <c r="P4" s="4">
        <f t="shared" si="0"/>
        <v>0</v>
      </c>
      <c r="Q4" s="4">
        <f t="shared" si="0"/>
        <v>0</v>
      </c>
      <c r="R4" s="4">
        <f t="shared" si="0"/>
        <v>0</v>
      </c>
      <c r="S4" s="12">
        <f t="shared" si="0"/>
        <v>0</v>
      </c>
      <c r="T4" s="4">
        <f t="shared" si="0"/>
        <v>0</v>
      </c>
      <c r="U4" s="4">
        <f t="shared" si="0"/>
        <v>0</v>
      </c>
      <c r="V4" s="4">
        <f t="shared" si="0"/>
        <v>0</v>
      </c>
      <c r="W4" s="12">
        <f t="shared" si="0"/>
        <v>0</v>
      </c>
      <c r="X4" s="4">
        <f t="shared" si="0"/>
        <v>0</v>
      </c>
      <c r="Y4" s="4">
        <f t="shared" si="0"/>
        <v>0</v>
      </c>
      <c r="Z4" s="4">
        <f t="shared" si="0"/>
        <v>0</v>
      </c>
      <c r="AA4" s="12">
        <f t="shared" si="0"/>
        <v>0</v>
      </c>
      <c r="AB4" s="4">
        <f t="shared" si="0"/>
        <v>0</v>
      </c>
      <c r="AC4" s="4">
        <f t="shared" si="0"/>
        <v>0</v>
      </c>
      <c r="AD4" s="4">
        <f t="shared" si="0"/>
        <v>0</v>
      </c>
      <c r="AE4" s="12">
        <f t="shared" si="0"/>
        <v>0</v>
      </c>
      <c r="AF4" s="4">
        <f t="shared" si="0"/>
        <v>0</v>
      </c>
      <c r="AG4" s="4">
        <f t="shared" si="0"/>
        <v>0</v>
      </c>
      <c r="AH4" s="4">
        <f t="shared" si="0"/>
        <v>0</v>
      </c>
      <c r="AI4" s="12">
        <f t="shared" si="0"/>
        <v>0</v>
      </c>
      <c r="AJ4" s="4">
        <f t="shared" si="0"/>
        <v>0</v>
      </c>
      <c r="AK4" s="4">
        <f t="shared" si="0"/>
        <v>0</v>
      </c>
      <c r="AL4" s="4">
        <f t="shared" si="0"/>
        <v>0</v>
      </c>
      <c r="AM4" s="12">
        <f t="shared" si="0"/>
        <v>0</v>
      </c>
      <c r="AN4" s="4">
        <f t="shared" si="0"/>
        <v>0</v>
      </c>
      <c r="AO4" s="4">
        <f t="shared" si="0"/>
        <v>0</v>
      </c>
      <c r="AP4" s="4">
        <f t="shared" si="0"/>
        <v>0</v>
      </c>
      <c r="AQ4" s="12">
        <f t="shared" si="0"/>
        <v>0</v>
      </c>
      <c r="AR4" s="4">
        <f t="shared" si="0"/>
        <v>0</v>
      </c>
      <c r="AS4" s="4">
        <f t="shared" si="0"/>
        <v>0</v>
      </c>
    </row>
    <row r="5" spans="1:45" x14ac:dyDescent="0.2">
      <c r="A5" s="18" t="s">
        <v>10</v>
      </c>
      <c r="B5" s="1">
        <v>0</v>
      </c>
      <c r="C5" s="8">
        <v>0</v>
      </c>
      <c r="D5" s="4">
        <f>D4*$B$6</f>
        <v>0</v>
      </c>
      <c r="E5" s="4">
        <f>E4*$B$6</f>
        <v>0</v>
      </c>
      <c r="F5" s="4">
        <f t="shared" ref="F5:AS5" si="1">F4*$B$6</f>
        <v>0</v>
      </c>
      <c r="G5" s="12">
        <f t="shared" si="1"/>
        <v>0</v>
      </c>
      <c r="H5" s="4">
        <f t="shared" si="1"/>
        <v>0</v>
      </c>
      <c r="I5" s="4">
        <f t="shared" si="1"/>
        <v>0</v>
      </c>
      <c r="J5" s="4">
        <f t="shared" si="1"/>
        <v>0</v>
      </c>
      <c r="K5" s="12">
        <f t="shared" si="1"/>
        <v>0</v>
      </c>
      <c r="L5" s="4">
        <f t="shared" si="1"/>
        <v>0</v>
      </c>
      <c r="M5" s="4">
        <f t="shared" si="1"/>
        <v>0</v>
      </c>
      <c r="N5" s="4">
        <f t="shared" si="1"/>
        <v>0</v>
      </c>
      <c r="O5" s="12">
        <f t="shared" si="1"/>
        <v>0</v>
      </c>
      <c r="P5" s="4">
        <f t="shared" si="1"/>
        <v>0</v>
      </c>
      <c r="Q5" s="4">
        <f t="shared" si="1"/>
        <v>0</v>
      </c>
      <c r="R5" s="4">
        <f t="shared" si="1"/>
        <v>0</v>
      </c>
      <c r="S5" s="12">
        <f t="shared" si="1"/>
        <v>0</v>
      </c>
      <c r="T5" s="4">
        <f t="shared" si="1"/>
        <v>0</v>
      </c>
      <c r="U5" s="4">
        <f t="shared" si="1"/>
        <v>0</v>
      </c>
      <c r="V5" s="4">
        <f t="shared" si="1"/>
        <v>0</v>
      </c>
      <c r="W5" s="12">
        <f t="shared" si="1"/>
        <v>0</v>
      </c>
      <c r="X5" s="4">
        <f t="shared" si="1"/>
        <v>0</v>
      </c>
      <c r="Y5" s="4">
        <f t="shared" si="1"/>
        <v>0</v>
      </c>
      <c r="Z5" s="4">
        <f t="shared" si="1"/>
        <v>0</v>
      </c>
      <c r="AA5" s="12">
        <f t="shared" si="1"/>
        <v>0</v>
      </c>
      <c r="AB5" s="4">
        <f t="shared" si="1"/>
        <v>0</v>
      </c>
      <c r="AC5" s="4">
        <f t="shared" si="1"/>
        <v>0</v>
      </c>
      <c r="AD5" s="4">
        <f t="shared" si="1"/>
        <v>0</v>
      </c>
      <c r="AE5" s="12">
        <f t="shared" si="1"/>
        <v>0</v>
      </c>
      <c r="AF5" s="4">
        <f t="shared" si="1"/>
        <v>0</v>
      </c>
      <c r="AG5" s="4">
        <f t="shared" si="1"/>
        <v>0</v>
      </c>
      <c r="AH5" s="4">
        <f t="shared" si="1"/>
        <v>0</v>
      </c>
      <c r="AI5" s="12">
        <f t="shared" si="1"/>
        <v>0</v>
      </c>
      <c r="AJ5" s="4">
        <f t="shared" si="1"/>
        <v>0</v>
      </c>
      <c r="AK5" s="4">
        <f t="shared" si="1"/>
        <v>0</v>
      </c>
      <c r="AL5" s="4">
        <f t="shared" si="1"/>
        <v>0</v>
      </c>
      <c r="AM5" s="12">
        <f t="shared" si="1"/>
        <v>0</v>
      </c>
      <c r="AN5" s="4">
        <f t="shared" si="1"/>
        <v>0</v>
      </c>
      <c r="AO5" s="4">
        <f t="shared" si="1"/>
        <v>0</v>
      </c>
      <c r="AP5" s="4">
        <f t="shared" si="1"/>
        <v>0</v>
      </c>
      <c r="AQ5" s="12">
        <f t="shared" si="1"/>
        <v>0</v>
      </c>
      <c r="AR5" s="4">
        <f t="shared" si="1"/>
        <v>0</v>
      </c>
      <c r="AS5" s="4">
        <f t="shared" si="1"/>
        <v>0</v>
      </c>
    </row>
    <row r="6" spans="1:45" x14ac:dyDescent="0.2">
      <c r="A6" s="1" t="s">
        <v>5</v>
      </c>
      <c r="B6" s="3">
        <v>0.24</v>
      </c>
      <c r="C6" s="17" t="s">
        <v>8</v>
      </c>
      <c r="E6" s="19" t="s">
        <v>6</v>
      </c>
      <c r="F6" s="19"/>
      <c r="G6" s="19"/>
      <c r="H6" s="19"/>
      <c r="I6" s="22">
        <f>SUM(B2:AS2)*7</f>
        <v>11176.725000000008</v>
      </c>
      <c r="J6" s="22"/>
      <c r="K6" s="24" t="s">
        <v>4</v>
      </c>
      <c r="L6" s="24"/>
      <c r="M6" s="24"/>
      <c r="N6" s="20">
        <f>SUM(B3:AS3)*7</f>
        <v>469</v>
      </c>
      <c r="O6" s="20"/>
      <c r="P6" s="23" t="s">
        <v>9</v>
      </c>
      <c r="Q6" s="23"/>
      <c r="R6" s="23"/>
      <c r="S6" s="23"/>
      <c r="T6" s="21">
        <f>SUM(B5:AS5)</f>
        <v>0</v>
      </c>
      <c r="U6" s="21"/>
      <c r="V6" s="7"/>
      <c r="W6" s="13"/>
      <c r="AA6" s="14"/>
      <c r="AB6" s="5"/>
      <c r="AC6" s="5"/>
      <c r="AD6" s="5"/>
      <c r="AE6" s="14"/>
      <c r="AF6" s="5"/>
      <c r="AG6" s="5"/>
      <c r="AH6" s="5"/>
      <c r="AI6" s="14"/>
      <c r="AJ6" s="5"/>
      <c r="AK6" s="5"/>
      <c r="AL6" s="5"/>
      <c r="AM6" s="14"/>
      <c r="AN6" s="5"/>
      <c r="AO6" s="5"/>
      <c r="AP6" s="5"/>
      <c r="AQ6" s="14"/>
      <c r="AR6" s="5"/>
      <c r="AS6" s="5"/>
    </row>
  </sheetData>
  <mergeCells count="6">
    <mergeCell ref="E6:H6"/>
    <mergeCell ref="N6:O6"/>
    <mergeCell ref="T6:U6"/>
    <mergeCell ref="I6:J6"/>
    <mergeCell ref="P6:S6"/>
    <mergeCell ref="K6:M6"/>
  </mergeCells>
  <phoneticPr fontId="0" type="noConversion"/>
  <pageMargins left="0.75" right="0.75" top="1" bottom="1" header="0.5" footer="0.5"/>
  <pageSetup paperSize="9" orientation="landscape" r:id="rId1"/>
  <headerFooter alignWithMargins="0">
    <oddHeader>&amp;A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S6"/>
  <sheetViews>
    <sheetView zoomScale="90" workbookViewId="0">
      <selection activeCell="C4" sqref="C4"/>
    </sheetView>
  </sheetViews>
  <sheetFormatPr defaultRowHeight="12.75" x14ac:dyDescent="0.2"/>
  <cols>
    <col min="1" max="1" width="16.7109375" customWidth="1"/>
    <col min="2" max="2" width="5.7109375" customWidth="1"/>
    <col min="3" max="3" width="5.7109375" style="11" customWidth="1"/>
    <col min="4" max="6" width="5.7109375" customWidth="1"/>
    <col min="7" max="7" width="5.7109375" style="11" customWidth="1"/>
    <col min="8" max="10" width="5.7109375" customWidth="1"/>
    <col min="11" max="11" width="5.7109375" style="11" customWidth="1"/>
    <col min="12" max="14" width="5.7109375" customWidth="1"/>
    <col min="15" max="15" width="5.7109375" style="11" customWidth="1"/>
    <col min="16" max="18" width="5.7109375" customWidth="1"/>
    <col min="19" max="19" width="5.7109375" style="11" customWidth="1"/>
    <col min="20" max="22" width="5.7109375" customWidth="1"/>
    <col min="23" max="23" width="5.7109375" style="11" customWidth="1"/>
    <col min="24" max="26" width="5.7109375" customWidth="1"/>
    <col min="27" max="27" width="5.7109375" style="11" customWidth="1"/>
    <col min="28" max="30" width="5.7109375" customWidth="1"/>
    <col min="31" max="31" width="5.7109375" style="11" customWidth="1"/>
    <col min="32" max="34" width="5.7109375" customWidth="1"/>
    <col min="35" max="35" width="5.7109375" style="11" customWidth="1"/>
    <col min="36" max="38" width="5.7109375" customWidth="1"/>
    <col min="39" max="39" width="5.7109375" style="11" customWidth="1"/>
    <col min="40" max="42" width="5.7109375" customWidth="1"/>
    <col min="43" max="43" width="5.7109375" style="11" customWidth="1"/>
    <col min="44" max="45" width="5.7109375" customWidth="1"/>
  </cols>
  <sheetData>
    <row r="1" spans="1:45" x14ac:dyDescent="0.2">
      <c r="A1" s="1" t="s">
        <v>7</v>
      </c>
      <c r="B1" s="1">
        <v>1</v>
      </c>
      <c r="C1" s="8">
        <v>2</v>
      </c>
      <c r="D1" s="1">
        <v>3</v>
      </c>
      <c r="E1" s="1">
        <v>4</v>
      </c>
      <c r="F1" s="1">
        <v>5</v>
      </c>
      <c r="G1" s="8">
        <v>6</v>
      </c>
      <c r="H1" s="1">
        <v>7</v>
      </c>
      <c r="I1" s="1">
        <v>8</v>
      </c>
      <c r="J1" s="1">
        <v>9</v>
      </c>
      <c r="K1" s="8">
        <v>10</v>
      </c>
      <c r="L1" s="1">
        <v>11</v>
      </c>
      <c r="M1" s="1">
        <v>12</v>
      </c>
      <c r="N1" s="1">
        <v>13</v>
      </c>
      <c r="O1" s="8">
        <v>14</v>
      </c>
      <c r="P1" s="1">
        <v>15</v>
      </c>
      <c r="Q1" s="1">
        <v>16</v>
      </c>
      <c r="R1" s="1">
        <v>17</v>
      </c>
      <c r="S1" s="8">
        <v>18</v>
      </c>
      <c r="T1" s="1">
        <v>19</v>
      </c>
      <c r="U1" s="1">
        <v>20</v>
      </c>
      <c r="V1" s="1">
        <v>21</v>
      </c>
      <c r="W1" s="8">
        <v>22</v>
      </c>
      <c r="X1" s="1">
        <v>23</v>
      </c>
      <c r="Y1" s="1">
        <v>24</v>
      </c>
      <c r="Z1" s="1">
        <v>25</v>
      </c>
      <c r="AA1" s="8">
        <v>26</v>
      </c>
      <c r="AB1" s="1">
        <v>27</v>
      </c>
      <c r="AC1" s="1">
        <v>28</v>
      </c>
      <c r="AD1" s="1">
        <v>29</v>
      </c>
      <c r="AE1" s="8">
        <v>30</v>
      </c>
      <c r="AF1" s="1">
        <v>31</v>
      </c>
      <c r="AG1" s="1">
        <v>32</v>
      </c>
      <c r="AH1" s="1">
        <v>33</v>
      </c>
      <c r="AI1" s="8">
        <v>34</v>
      </c>
      <c r="AJ1" s="1">
        <v>35</v>
      </c>
      <c r="AK1" s="1">
        <v>36</v>
      </c>
      <c r="AL1" s="1">
        <v>37</v>
      </c>
      <c r="AM1" s="8">
        <v>38</v>
      </c>
      <c r="AN1" s="1">
        <v>39</v>
      </c>
      <c r="AO1" s="1">
        <v>40</v>
      </c>
      <c r="AP1" s="1">
        <v>41</v>
      </c>
      <c r="AQ1" s="8">
        <v>42</v>
      </c>
      <c r="AR1" s="1">
        <v>43</v>
      </c>
      <c r="AS1" s="1">
        <v>44</v>
      </c>
    </row>
    <row r="2" spans="1:45" x14ac:dyDescent="0.2">
      <c r="A2" s="1" t="s">
        <v>3</v>
      </c>
      <c r="B2" s="6">
        <f>B3</f>
        <v>25</v>
      </c>
      <c r="C2" s="9">
        <f>C3</f>
        <v>30</v>
      </c>
      <c r="D2" s="4">
        <f>$C$2/0.952380952380952</f>
        <v>31.500000000000014</v>
      </c>
      <c r="E2" s="4">
        <f>$C$2/0.888888888888889</f>
        <v>33.75</v>
      </c>
      <c r="F2" s="4">
        <f>$C$2/0.833333333333333</f>
        <v>36.000000000000014</v>
      </c>
      <c r="G2" s="12">
        <f>$C$2/0.8</f>
        <v>37.5</v>
      </c>
      <c r="H2" s="4">
        <f>$C$2/0.775193798449612</f>
        <v>38.700000000000017</v>
      </c>
      <c r="I2" s="4">
        <f>$C$2/0.763358778625954</f>
        <v>39.300000000000011</v>
      </c>
      <c r="J2" s="4">
        <f>$C$2/0.754716981132076</f>
        <v>39.749999999999972</v>
      </c>
      <c r="K2" s="12">
        <f>$C$2/0.75187969924812</f>
        <v>39.900000000000013</v>
      </c>
      <c r="L2" s="4">
        <f>$C$2/0.757575757575758</f>
        <v>39.59999999999998</v>
      </c>
      <c r="M2" s="4">
        <f>$C$2/0.766283524904214</f>
        <v>39.150000000000027</v>
      </c>
      <c r="N2" s="4">
        <f>$C$2/0.778210116731517</f>
        <v>38.550000000000026</v>
      </c>
      <c r="O2" s="12">
        <f>$C$2/0.790513833992095</f>
        <v>37.949999999999996</v>
      </c>
      <c r="P2" s="4">
        <f>$C$2/0.803212851405622</f>
        <v>37.350000000000023</v>
      </c>
      <c r="Q2" s="4">
        <f>$C$2/0.816326530612245</f>
        <v>36.749999999999993</v>
      </c>
      <c r="R2" s="4">
        <f>$C$2/0.829875518672199</f>
        <v>36.150000000000006</v>
      </c>
      <c r="S2" s="12">
        <f>$C$2/0.843881856540084</f>
        <v>35.550000000000018</v>
      </c>
      <c r="T2" s="4">
        <f>$C$2/0.858369098712446</f>
        <v>34.95000000000001</v>
      </c>
      <c r="U2" s="4">
        <f>$C$2/0.873362445414847</f>
        <v>34.350000000000009</v>
      </c>
      <c r="V2" s="4">
        <f>$C$2/0.888888888888888</f>
        <v>33.750000000000036</v>
      </c>
      <c r="W2" s="12">
        <f>$C$2/0.90497737556561</f>
        <v>33.150000000000034</v>
      </c>
      <c r="X2" s="4">
        <f>$C$2/0.921658986175114</f>
        <v>32.55000000000004</v>
      </c>
      <c r="Y2" s="4">
        <f>$C$2/0.938967136150234</f>
        <v>31.950000000000028</v>
      </c>
      <c r="Z2" s="4">
        <f>$C$2/0.956937799043061</f>
        <v>31.350000000000041</v>
      </c>
      <c r="AA2" s="12">
        <f>$C$2/0.97560975609756</f>
        <v>30.750000000000032</v>
      </c>
      <c r="AB2" s="4">
        <f>$C$2/0.995024875621889</f>
        <v>30.150000000000045</v>
      </c>
      <c r="AC2" s="4">
        <f>$C$2/1.01522842639594</f>
        <v>29.549999999999976</v>
      </c>
      <c r="AD2" s="4">
        <f>$C$2/1.03626943005181</f>
        <v>28.950000000000095</v>
      </c>
      <c r="AE2" s="12">
        <f>$C$2/1.05820105820106</f>
        <v>28.349999999999955</v>
      </c>
      <c r="AF2" s="4">
        <f>$C$2/1.08108108108108</f>
        <v>27.750000000000028</v>
      </c>
      <c r="AG2" s="4">
        <f>$C$2/1.10497237569061</f>
        <v>27.149999999999945</v>
      </c>
      <c r="AH2" s="4">
        <f>$C$2/1.12994350282486</f>
        <v>26.549999999999972</v>
      </c>
      <c r="AI2" s="12">
        <f>$C$2/1.15606936416185</f>
        <v>25.949999999999992</v>
      </c>
      <c r="AJ2" s="4">
        <f>$C$2/1.18343195266272</f>
        <v>25.350000000000041</v>
      </c>
      <c r="AK2" s="4">
        <f>$C$2/1.21212121212121</f>
        <v>24.750000000000046</v>
      </c>
      <c r="AL2" s="4">
        <f>$C$2/1.24223602484472</f>
        <v>24.150000000000009</v>
      </c>
      <c r="AM2" s="12">
        <f>$C$2/1.27388535031847</f>
        <v>23.550000000000026</v>
      </c>
      <c r="AN2" s="4">
        <f>$C$2/1.30718954248366</f>
        <v>22.950000000000003</v>
      </c>
      <c r="AO2" s="4">
        <f>$C$2/1.34228187919463</f>
        <v>22.350000000000012</v>
      </c>
      <c r="AP2" s="4">
        <f>$C$2/1.37931034482758</f>
        <v>21.750000000000096</v>
      </c>
      <c r="AQ2" s="12">
        <f>$C$2/1.41843971631205</f>
        <v>21.150000000000102</v>
      </c>
      <c r="AR2" s="4">
        <f>$C$2/1.45985401459854</f>
        <v>20.550000000000004</v>
      </c>
      <c r="AS2" s="4">
        <f>$C$2/1.50375939849624</f>
        <v>19.950000000000006</v>
      </c>
    </row>
    <row r="3" spans="1:45" x14ac:dyDescent="0.2">
      <c r="A3" s="1" t="s">
        <v>2</v>
      </c>
      <c r="B3" s="2">
        <v>25</v>
      </c>
      <c r="C3" s="10">
        <v>30</v>
      </c>
      <c r="D3" s="2"/>
      <c r="E3" s="2"/>
      <c r="F3" s="2"/>
      <c r="G3" s="10"/>
      <c r="H3" s="2"/>
      <c r="I3" s="2"/>
      <c r="J3" s="2"/>
      <c r="K3" s="10"/>
      <c r="L3" s="2"/>
      <c r="M3" s="2"/>
      <c r="N3" s="2"/>
      <c r="O3" s="10"/>
      <c r="P3" s="2"/>
      <c r="Q3" s="2"/>
      <c r="R3" s="2"/>
      <c r="S3" s="10"/>
      <c r="T3" s="2"/>
      <c r="U3" s="2"/>
      <c r="V3" s="2"/>
      <c r="W3" s="10"/>
      <c r="X3" s="2"/>
      <c r="Y3" s="2"/>
      <c r="Z3" s="2"/>
      <c r="AA3" s="10"/>
      <c r="AB3" s="2"/>
      <c r="AC3" s="2"/>
      <c r="AD3" s="2"/>
      <c r="AE3" s="10"/>
      <c r="AF3" s="2"/>
      <c r="AG3" s="2"/>
      <c r="AH3" s="2"/>
      <c r="AI3" s="10"/>
      <c r="AJ3" s="2"/>
      <c r="AK3" s="2"/>
      <c r="AL3" s="2"/>
      <c r="AM3" s="10"/>
      <c r="AN3" s="2"/>
      <c r="AO3" s="2"/>
      <c r="AP3" s="2"/>
      <c r="AQ3" s="10"/>
      <c r="AR3" s="2"/>
      <c r="AS3" s="2"/>
    </row>
    <row r="4" spans="1:45" x14ac:dyDescent="0.2">
      <c r="A4" s="1" t="s">
        <v>1</v>
      </c>
      <c r="B4" s="1">
        <v>0</v>
      </c>
      <c r="C4" s="8">
        <v>0</v>
      </c>
      <c r="D4" s="4">
        <f>IF(D3=0,0,(D2-D3)*7)</f>
        <v>0</v>
      </c>
      <c r="E4" s="4">
        <f t="shared" ref="E4:AS4" si="0">IF(E3=0,0,(E2-E3)*7)</f>
        <v>0</v>
      </c>
      <c r="F4" s="4">
        <f t="shared" si="0"/>
        <v>0</v>
      </c>
      <c r="G4" s="12">
        <f t="shared" si="0"/>
        <v>0</v>
      </c>
      <c r="H4" s="4">
        <f t="shared" si="0"/>
        <v>0</v>
      </c>
      <c r="I4" s="4">
        <f t="shared" si="0"/>
        <v>0</v>
      </c>
      <c r="J4" s="4">
        <f t="shared" si="0"/>
        <v>0</v>
      </c>
      <c r="K4" s="12">
        <f t="shared" si="0"/>
        <v>0</v>
      </c>
      <c r="L4" s="4">
        <f t="shared" si="0"/>
        <v>0</v>
      </c>
      <c r="M4" s="4">
        <f t="shared" si="0"/>
        <v>0</v>
      </c>
      <c r="N4" s="4">
        <f t="shared" si="0"/>
        <v>0</v>
      </c>
      <c r="O4" s="12">
        <f t="shared" si="0"/>
        <v>0</v>
      </c>
      <c r="P4" s="4">
        <f t="shared" si="0"/>
        <v>0</v>
      </c>
      <c r="Q4" s="4">
        <f t="shared" si="0"/>
        <v>0</v>
      </c>
      <c r="R4" s="4">
        <f t="shared" si="0"/>
        <v>0</v>
      </c>
      <c r="S4" s="12">
        <f t="shared" si="0"/>
        <v>0</v>
      </c>
      <c r="T4" s="4">
        <f t="shared" si="0"/>
        <v>0</v>
      </c>
      <c r="U4" s="4">
        <f t="shared" si="0"/>
        <v>0</v>
      </c>
      <c r="V4" s="4">
        <f t="shared" si="0"/>
        <v>0</v>
      </c>
      <c r="W4" s="12">
        <f t="shared" si="0"/>
        <v>0</v>
      </c>
      <c r="X4" s="4">
        <f t="shared" si="0"/>
        <v>0</v>
      </c>
      <c r="Y4" s="4">
        <f t="shared" si="0"/>
        <v>0</v>
      </c>
      <c r="Z4" s="4">
        <f t="shared" si="0"/>
        <v>0</v>
      </c>
      <c r="AA4" s="12">
        <f t="shared" si="0"/>
        <v>0</v>
      </c>
      <c r="AB4" s="4">
        <f t="shared" si="0"/>
        <v>0</v>
      </c>
      <c r="AC4" s="4">
        <f t="shared" si="0"/>
        <v>0</v>
      </c>
      <c r="AD4" s="4">
        <f t="shared" si="0"/>
        <v>0</v>
      </c>
      <c r="AE4" s="12">
        <f t="shared" si="0"/>
        <v>0</v>
      </c>
      <c r="AF4" s="4">
        <f t="shared" si="0"/>
        <v>0</v>
      </c>
      <c r="AG4" s="4">
        <f t="shared" si="0"/>
        <v>0</v>
      </c>
      <c r="AH4" s="4">
        <f t="shared" si="0"/>
        <v>0</v>
      </c>
      <c r="AI4" s="12">
        <f t="shared" si="0"/>
        <v>0</v>
      </c>
      <c r="AJ4" s="4">
        <f t="shared" si="0"/>
        <v>0</v>
      </c>
      <c r="AK4" s="4">
        <f t="shared" si="0"/>
        <v>0</v>
      </c>
      <c r="AL4" s="4">
        <f t="shared" si="0"/>
        <v>0</v>
      </c>
      <c r="AM4" s="12">
        <f t="shared" si="0"/>
        <v>0</v>
      </c>
      <c r="AN4" s="4">
        <f t="shared" si="0"/>
        <v>0</v>
      </c>
      <c r="AO4" s="4">
        <f t="shared" si="0"/>
        <v>0</v>
      </c>
      <c r="AP4" s="4">
        <f t="shared" si="0"/>
        <v>0</v>
      </c>
      <c r="AQ4" s="12">
        <f t="shared" si="0"/>
        <v>0</v>
      </c>
      <c r="AR4" s="4">
        <f t="shared" si="0"/>
        <v>0</v>
      </c>
      <c r="AS4" s="4">
        <f t="shared" si="0"/>
        <v>0</v>
      </c>
    </row>
    <row r="5" spans="1:45" x14ac:dyDescent="0.2">
      <c r="A5" s="18" t="s">
        <v>10</v>
      </c>
      <c r="B5" s="1">
        <v>0</v>
      </c>
      <c r="C5" s="8">
        <v>0</v>
      </c>
      <c r="D5" s="4">
        <f>D4*$B$6</f>
        <v>0</v>
      </c>
      <c r="E5" s="4">
        <f>E4*$B$6</f>
        <v>0</v>
      </c>
      <c r="F5" s="4">
        <f t="shared" ref="F5:AS5" si="1">F4*$B$6</f>
        <v>0</v>
      </c>
      <c r="G5" s="12">
        <f t="shared" si="1"/>
        <v>0</v>
      </c>
      <c r="H5" s="4">
        <f t="shared" si="1"/>
        <v>0</v>
      </c>
      <c r="I5" s="4">
        <f t="shared" si="1"/>
        <v>0</v>
      </c>
      <c r="J5" s="4">
        <f t="shared" si="1"/>
        <v>0</v>
      </c>
      <c r="K5" s="12">
        <f t="shared" si="1"/>
        <v>0</v>
      </c>
      <c r="L5" s="4">
        <f t="shared" si="1"/>
        <v>0</v>
      </c>
      <c r="M5" s="4">
        <f t="shared" si="1"/>
        <v>0</v>
      </c>
      <c r="N5" s="4">
        <f t="shared" si="1"/>
        <v>0</v>
      </c>
      <c r="O5" s="12">
        <f t="shared" si="1"/>
        <v>0</v>
      </c>
      <c r="P5" s="4">
        <f t="shared" si="1"/>
        <v>0</v>
      </c>
      <c r="Q5" s="4">
        <f t="shared" si="1"/>
        <v>0</v>
      </c>
      <c r="R5" s="4">
        <f t="shared" si="1"/>
        <v>0</v>
      </c>
      <c r="S5" s="12">
        <f t="shared" si="1"/>
        <v>0</v>
      </c>
      <c r="T5" s="4">
        <f t="shared" si="1"/>
        <v>0</v>
      </c>
      <c r="U5" s="4">
        <f t="shared" si="1"/>
        <v>0</v>
      </c>
      <c r="V5" s="4">
        <f t="shared" si="1"/>
        <v>0</v>
      </c>
      <c r="W5" s="12">
        <f t="shared" si="1"/>
        <v>0</v>
      </c>
      <c r="X5" s="4">
        <f t="shared" si="1"/>
        <v>0</v>
      </c>
      <c r="Y5" s="4">
        <f t="shared" si="1"/>
        <v>0</v>
      </c>
      <c r="Z5" s="4">
        <f t="shared" si="1"/>
        <v>0</v>
      </c>
      <c r="AA5" s="12">
        <f t="shared" si="1"/>
        <v>0</v>
      </c>
      <c r="AB5" s="4">
        <f t="shared" si="1"/>
        <v>0</v>
      </c>
      <c r="AC5" s="4">
        <f t="shared" si="1"/>
        <v>0</v>
      </c>
      <c r="AD5" s="4">
        <f t="shared" si="1"/>
        <v>0</v>
      </c>
      <c r="AE5" s="12">
        <f t="shared" si="1"/>
        <v>0</v>
      </c>
      <c r="AF5" s="4">
        <f t="shared" si="1"/>
        <v>0</v>
      </c>
      <c r="AG5" s="4">
        <f t="shared" si="1"/>
        <v>0</v>
      </c>
      <c r="AH5" s="4">
        <f t="shared" si="1"/>
        <v>0</v>
      </c>
      <c r="AI5" s="12">
        <f t="shared" si="1"/>
        <v>0</v>
      </c>
      <c r="AJ5" s="4">
        <f t="shared" si="1"/>
        <v>0</v>
      </c>
      <c r="AK5" s="4">
        <f t="shared" si="1"/>
        <v>0</v>
      </c>
      <c r="AL5" s="4">
        <f t="shared" si="1"/>
        <v>0</v>
      </c>
      <c r="AM5" s="12">
        <f t="shared" si="1"/>
        <v>0</v>
      </c>
      <c r="AN5" s="4">
        <f t="shared" si="1"/>
        <v>0</v>
      </c>
      <c r="AO5" s="4">
        <f t="shared" si="1"/>
        <v>0</v>
      </c>
      <c r="AP5" s="4">
        <f t="shared" si="1"/>
        <v>0</v>
      </c>
      <c r="AQ5" s="12">
        <f t="shared" si="1"/>
        <v>0</v>
      </c>
      <c r="AR5" s="4">
        <f t="shared" si="1"/>
        <v>0</v>
      </c>
      <c r="AS5" s="4">
        <f t="shared" si="1"/>
        <v>0</v>
      </c>
    </row>
    <row r="6" spans="1:45" x14ac:dyDescent="0.2">
      <c r="A6" s="1" t="s">
        <v>5</v>
      </c>
      <c r="B6" s="3">
        <v>0.24</v>
      </c>
      <c r="C6" s="17" t="s">
        <v>8</v>
      </c>
      <c r="E6" s="19" t="s">
        <v>6</v>
      </c>
      <c r="F6" s="19"/>
      <c r="G6" s="19"/>
      <c r="H6" s="19"/>
      <c r="I6" s="22">
        <f>SUM(B2:AS2)*7</f>
        <v>9563.0500000000029</v>
      </c>
      <c r="J6" s="22"/>
      <c r="K6" s="24" t="s">
        <v>4</v>
      </c>
      <c r="L6" s="24"/>
      <c r="M6" s="24"/>
      <c r="N6" s="20">
        <f>SUM(B3:AS3)*7</f>
        <v>385</v>
      </c>
      <c r="O6" s="20"/>
      <c r="P6" s="23" t="s">
        <v>9</v>
      </c>
      <c r="Q6" s="23"/>
      <c r="R6" s="23"/>
      <c r="S6" s="23"/>
      <c r="T6" s="21">
        <f>SUM(B5:AS5)</f>
        <v>0</v>
      </c>
      <c r="U6" s="21"/>
      <c r="V6" s="16"/>
      <c r="W6" s="13"/>
      <c r="AA6" s="14"/>
      <c r="AB6" s="5"/>
      <c r="AC6" s="5"/>
      <c r="AD6" s="5"/>
      <c r="AE6" s="14"/>
      <c r="AF6" s="5"/>
      <c r="AG6" s="5"/>
      <c r="AH6" s="5"/>
      <c r="AI6" s="14"/>
      <c r="AJ6" s="5"/>
      <c r="AK6" s="5"/>
      <c r="AL6" s="5"/>
      <c r="AM6" s="14"/>
      <c r="AN6" s="5"/>
      <c r="AO6" s="5"/>
      <c r="AP6" s="5"/>
      <c r="AQ6" s="14"/>
      <c r="AR6" s="5"/>
      <c r="AS6" s="5"/>
    </row>
  </sheetData>
  <mergeCells count="6">
    <mergeCell ref="T6:U6"/>
    <mergeCell ref="E6:H6"/>
    <mergeCell ref="I6:J6"/>
    <mergeCell ref="K6:M6"/>
    <mergeCell ref="N6:O6"/>
    <mergeCell ref="P6:S6"/>
  </mergeCells>
  <pageMargins left="0.75" right="0.75" top="1" bottom="1" header="0.5" footer="0.5"/>
  <pageSetup paperSize="9" orientation="landscape" r:id="rId1"/>
  <headerFooter alignWithMargins="0">
    <oddHeader>&amp;A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S6"/>
  <sheetViews>
    <sheetView zoomScale="90" workbookViewId="0">
      <selection activeCell="AA17" sqref="AA17"/>
    </sheetView>
  </sheetViews>
  <sheetFormatPr defaultRowHeight="12.75" x14ac:dyDescent="0.2"/>
  <cols>
    <col min="1" max="1" width="16.7109375" customWidth="1"/>
    <col min="2" max="2" width="5.7109375" customWidth="1"/>
    <col min="3" max="3" width="5.7109375" style="11" customWidth="1"/>
    <col min="4" max="6" width="5.7109375" customWidth="1"/>
    <col min="7" max="7" width="5.7109375" style="11" customWidth="1"/>
    <col min="8" max="10" width="5.7109375" customWidth="1"/>
    <col min="11" max="11" width="5.7109375" style="11" customWidth="1"/>
    <col min="12" max="14" width="5.7109375" customWidth="1"/>
    <col min="15" max="15" width="5.7109375" style="11" customWidth="1"/>
    <col min="16" max="18" width="5.7109375" customWidth="1"/>
    <col min="19" max="19" width="5.7109375" style="11" customWidth="1"/>
    <col min="20" max="22" width="5.7109375" customWidth="1"/>
    <col min="23" max="23" width="5.7109375" style="11" customWidth="1"/>
    <col min="24" max="26" width="5.7109375" customWidth="1"/>
    <col min="27" max="27" width="5.7109375" style="11" customWidth="1"/>
    <col min="28" max="30" width="5.7109375" customWidth="1"/>
    <col min="31" max="31" width="5.7109375" style="11" customWidth="1"/>
    <col min="32" max="34" width="5.7109375" customWidth="1"/>
    <col min="35" max="35" width="5.7109375" style="11" customWidth="1"/>
    <col min="36" max="38" width="5.7109375" customWidth="1"/>
    <col min="39" max="39" width="5.7109375" style="11" customWidth="1"/>
    <col min="40" max="42" width="5.7109375" customWidth="1"/>
    <col min="43" max="43" width="5.7109375" style="11" customWidth="1"/>
    <col min="44" max="45" width="5.7109375" customWidth="1"/>
  </cols>
  <sheetData>
    <row r="1" spans="1:45" x14ac:dyDescent="0.2">
      <c r="A1" s="1" t="s">
        <v>7</v>
      </c>
      <c r="B1" s="1">
        <v>1</v>
      </c>
      <c r="C1" s="8">
        <v>2</v>
      </c>
      <c r="D1" s="1">
        <v>3</v>
      </c>
      <c r="E1" s="1">
        <v>4</v>
      </c>
      <c r="F1" s="1">
        <v>5</v>
      </c>
      <c r="G1" s="8">
        <v>6</v>
      </c>
      <c r="H1" s="1">
        <v>7</v>
      </c>
      <c r="I1" s="1">
        <v>8</v>
      </c>
      <c r="J1" s="1">
        <v>9</v>
      </c>
      <c r="K1" s="8">
        <v>10</v>
      </c>
      <c r="L1" s="1">
        <v>11</v>
      </c>
      <c r="M1" s="1">
        <v>12</v>
      </c>
      <c r="N1" s="1">
        <v>13</v>
      </c>
      <c r="O1" s="8">
        <v>14</v>
      </c>
      <c r="P1" s="1">
        <v>15</v>
      </c>
      <c r="Q1" s="1">
        <v>16</v>
      </c>
      <c r="R1" s="1">
        <v>17</v>
      </c>
      <c r="S1" s="8">
        <v>18</v>
      </c>
      <c r="T1" s="1">
        <v>19</v>
      </c>
      <c r="U1" s="1">
        <v>20</v>
      </c>
      <c r="V1" s="1">
        <v>21</v>
      </c>
      <c r="W1" s="8">
        <v>22</v>
      </c>
      <c r="X1" s="1">
        <v>23</v>
      </c>
      <c r="Y1" s="1">
        <v>24</v>
      </c>
      <c r="Z1" s="1">
        <v>25</v>
      </c>
      <c r="AA1" s="8">
        <v>26</v>
      </c>
      <c r="AB1" s="1">
        <v>27</v>
      </c>
      <c r="AC1" s="1">
        <v>28</v>
      </c>
      <c r="AD1" s="1">
        <v>29</v>
      </c>
      <c r="AE1" s="8">
        <v>30</v>
      </c>
      <c r="AF1" s="1">
        <v>31</v>
      </c>
      <c r="AG1" s="1">
        <v>32</v>
      </c>
      <c r="AH1" s="1">
        <v>33</v>
      </c>
      <c r="AI1" s="8">
        <v>34</v>
      </c>
      <c r="AJ1" s="1">
        <v>35</v>
      </c>
      <c r="AK1" s="1">
        <v>36</v>
      </c>
      <c r="AL1" s="1">
        <v>37</v>
      </c>
      <c r="AM1" s="8">
        <v>38</v>
      </c>
      <c r="AN1" s="1">
        <v>39</v>
      </c>
      <c r="AO1" s="1">
        <v>40</v>
      </c>
      <c r="AP1" s="1">
        <v>41</v>
      </c>
      <c r="AQ1" s="8">
        <v>42</v>
      </c>
      <c r="AR1" s="1">
        <v>43</v>
      </c>
      <c r="AS1" s="1">
        <v>44</v>
      </c>
    </row>
    <row r="2" spans="1:45" x14ac:dyDescent="0.2">
      <c r="A2" s="1" t="s">
        <v>3</v>
      </c>
      <c r="B2" s="6">
        <f>B3</f>
        <v>30</v>
      </c>
      <c r="C2" s="9">
        <f>C3</f>
        <v>33</v>
      </c>
      <c r="D2" s="4">
        <f>$C$2/0.952380952380952</f>
        <v>34.650000000000013</v>
      </c>
      <c r="E2" s="4">
        <f>$C$2/0.888888888888889</f>
        <v>37.125</v>
      </c>
      <c r="F2" s="4">
        <f>$C$2/0.833333333333333</f>
        <v>39.600000000000016</v>
      </c>
      <c r="G2" s="12">
        <f>$C$2/0.8</f>
        <v>41.25</v>
      </c>
      <c r="H2" s="4">
        <f>$C$2/0.775193798449612</f>
        <v>42.570000000000022</v>
      </c>
      <c r="I2" s="4">
        <f>$C$2/0.763358778625954</f>
        <v>43.230000000000011</v>
      </c>
      <c r="J2" s="4">
        <f>$C$2/0.754716981132076</f>
        <v>43.724999999999973</v>
      </c>
      <c r="K2" s="12">
        <f>$C$2/0.75187969924812</f>
        <v>43.890000000000015</v>
      </c>
      <c r="L2" s="4">
        <f>$C$2/0.757575757575758</f>
        <v>43.559999999999974</v>
      </c>
      <c r="M2" s="4">
        <f>$C$2/0.766283524904214</f>
        <v>43.065000000000033</v>
      </c>
      <c r="N2" s="4">
        <f>$C$2/0.778210116731517</f>
        <v>42.40500000000003</v>
      </c>
      <c r="O2" s="12">
        <f>$C$2/0.790513833992095</f>
        <v>41.744999999999997</v>
      </c>
      <c r="P2" s="4">
        <f>$C$2/0.803212851405622</f>
        <v>41.085000000000022</v>
      </c>
      <c r="Q2" s="4">
        <f>$C$2/0.816326530612245</f>
        <v>40.42499999999999</v>
      </c>
      <c r="R2" s="4">
        <f>$C$2/0.829875518672199</f>
        <v>39.765000000000008</v>
      </c>
      <c r="S2" s="12">
        <f>$C$2/0.843881856540084</f>
        <v>39.105000000000018</v>
      </c>
      <c r="T2" s="4">
        <f>$C$2/0.858369098712446</f>
        <v>38.445000000000014</v>
      </c>
      <c r="U2" s="4">
        <f>$C$2/0.873362445414847</f>
        <v>37.785000000000011</v>
      </c>
      <c r="V2" s="4">
        <f>$C$2/0.888888888888888</f>
        <v>37.125000000000043</v>
      </c>
      <c r="W2" s="12">
        <f>$C$2/0.90497737556561</f>
        <v>36.465000000000039</v>
      </c>
      <c r="X2" s="4">
        <f>$C$2/0.921658986175114</f>
        <v>35.805000000000049</v>
      </c>
      <c r="Y2" s="4">
        <f>$C$2/0.938967136150234</f>
        <v>35.145000000000032</v>
      </c>
      <c r="Z2" s="4">
        <f>$C$2/0.956937799043061</f>
        <v>34.485000000000042</v>
      </c>
      <c r="AA2" s="12">
        <f>$C$2/0.97560975609756</f>
        <v>33.825000000000038</v>
      </c>
      <c r="AB2" s="4">
        <f>$C$2/0.995024875621889</f>
        <v>33.165000000000049</v>
      </c>
      <c r="AC2" s="4">
        <f>$C$2/1.01522842639594</f>
        <v>32.504999999999974</v>
      </c>
      <c r="AD2" s="4">
        <f>$C$2/1.03626943005181</f>
        <v>31.845000000000105</v>
      </c>
      <c r="AE2" s="12">
        <f>$C$2/1.05820105820106</f>
        <v>31.184999999999949</v>
      </c>
      <c r="AF2" s="4">
        <f>$C$2/1.08108108108108</f>
        <v>30.525000000000031</v>
      </c>
      <c r="AG2" s="4">
        <f>$C$2/1.10497237569061</f>
        <v>29.864999999999938</v>
      </c>
      <c r="AH2" s="4">
        <f>$C$2/1.12994350282486</f>
        <v>29.20499999999997</v>
      </c>
      <c r="AI2" s="12">
        <f>$C$2/1.15606936416185</f>
        <v>28.544999999999991</v>
      </c>
      <c r="AJ2" s="4">
        <f>$C$2/1.18343195266272</f>
        <v>27.885000000000044</v>
      </c>
      <c r="AK2" s="4">
        <f>$C$2/1.21212121212121</f>
        <v>27.225000000000048</v>
      </c>
      <c r="AL2" s="4">
        <f>$C$2/1.24223602484472</f>
        <v>26.565000000000012</v>
      </c>
      <c r="AM2" s="12">
        <f>$C$2/1.27388535031847</f>
        <v>25.90500000000003</v>
      </c>
      <c r="AN2" s="4">
        <f>$C$2/1.30718954248366</f>
        <v>25.245000000000005</v>
      </c>
      <c r="AO2" s="4">
        <f>$C$2/1.34228187919463</f>
        <v>24.585000000000015</v>
      </c>
      <c r="AP2" s="4">
        <f>$C$2/1.37931034482758</f>
        <v>23.925000000000107</v>
      </c>
      <c r="AQ2" s="12">
        <f>$C$2/1.41843971631205</f>
        <v>23.265000000000111</v>
      </c>
      <c r="AR2" s="4">
        <f>$C$2/1.45985401459854</f>
        <v>22.605000000000004</v>
      </c>
      <c r="AS2" s="4">
        <f>$C$2/1.50375939849624</f>
        <v>21.945000000000007</v>
      </c>
    </row>
    <row r="3" spans="1:45" x14ac:dyDescent="0.2">
      <c r="A3" s="1" t="s">
        <v>2</v>
      </c>
      <c r="B3" s="2">
        <v>30</v>
      </c>
      <c r="C3" s="10">
        <v>33</v>
      </c>
      <c r="D3" s="2"/>
      <c r="E3" s="2"/>
      <c r="F3" s="2"/>
      <c r="G3" s="10"/>
      <c r="H3" s="2"/>
      <c r="I3" s="2"/>
      <c r="J3" s="2"/>
      <c r="K3" s="10"/>
      <c r="L3" s="2"/>
      <c r="M3" s="2"/>
      <c r="N3" s="2"/>
      <c r="O3" s="10"/>
      <c r="P3" s="2"/>
      <c r="Q3" s="2"/>
      <c r="R3" s="2"/>
      <c r="S3" s="10"/>
      <c r="T3" s="2"/>
      <c r="U3" s="2"/>
      <c r="V3" s="2"/>
      <c r="W3" s="10"/>
      <c r="X3" s="2"/>
      <c r="Y3" s="2"/>
      <c r="Z3" s="2"/>
      <c r="AA3" s="10"/>
      <c r="AB3" s="2"/>
      <c r="AC3" s="2"/>
      <c r="AD3" s="2"/>
      <c r="AE3" s="10"/>
      <c r="AF3" s="2"/>
      <c r="AG3" s="2"/>
      <c r="AH3" s="2"/>
      <c r="AI3" s="10"/>
      <c r="AJ3" s="2"/>
      <c r="AK3" s="2"/>
      <c r="AL3" s="2"/>
      <c r="AM3" s="10"/>
      <c r="AN3" s="2"/>
      <c r="AO3" s="2"/>
      <c r="AP3" s="2"/>
      <c r="AQ3" s="10"/>
      <c r="AR3" s="2"/>
      <c r="AS3" s="2"/>
    </row>
    <row r="4" spans="1:45" x14ac:dyDescent="0.2">
      <c r="A4" s="1" t="s">
        <v>1</v>
      </c>
      <c r="B4" s="1">
        <v>0</v>
      </c>
      <c r="C4" s="8">
        <v>0</v>
      </c>
      <c r="D4" s="4">
        <f>IF(D3=0,0,(D2-D3)*7)</f>
        <v>0</v>
      </c>
      <c r="E4" s="4">
        <f t="shared" ref="E4:AS4" si="0">IF(E3=0,0,(E2-E3)*7)</f>
        <v>0</v>
      </c>
      <c r="F4" s="4">
        <f t="shared" si="0"/>
        <v>0</v>
      </c>
      <c r="G4" s="12">
        <f t="shared" si="0"/>
        <v>0</v>
      </c>
      <c r="H4" s="4">
        <f t="shared" si="0"/>
        <v>0</v>
      </c>
      <c r="I4" s="4">
        <f t="shared" si="0"/>
        <v>0</v>
      </c>
      <c r="J4" s="4">
        <f t="shared" si="0"/>
        <v>0</v>
      </c>
      <c r="K4" s="12">
        <f t="shared" si="0"/>
        <v>0</v>
      </c>
      <c r="L4" s="4">
        <f t="shared" si="0"/>
        <v>0</v>
      </c>
      <c r="M4" s="4">
        <f t="shared" si="0"/>
        <v>0</v>
      </c>
      <c r="N4" s="4">
        <f t="shared" si="0"/>
        <v>0</v>
      </c>
      <c r="O4" s="12">
        <f t="shared" si="0"/>
        <v>0</v>
      </c>
      <c r="P4" s="4">
        <f t="shared" si="0"/>
        <v>0</v>
      </c>
      <c r="Q4" s="4">
        <f t="shared" si="0"/>
        <v>0</v>
      </c>
      <c r="R4" s="4">
        <f t="shared" si="0"/>
        <v>0</v>
      </c>
      <c r="S4" s="12">
        <f t="shared" si="0"/>
        <v>0</v>
      </c>
      <c r="T4" s="4">
        <f t="shared" si="0"/>
        <v>0</v>
      </c>
      <c r="U4" s="4">
        <f t="shared" si="0"/>
        <v>0</v>
      </c>
      <c r="V4" s="4">
        <f t="shared" si="0"/>
        <v>0</v>
      </c>
      <c r="W4" s="12">
        <f t="shared" si="0"/>
        <v>0</v>
      </c>
      <c r="X4" s="4">
        <f t="shared" si="0"/>
        <v>0</v>
      </c>
      <c r="Y4" s="4">
        <f t="shared" si="0"/>
        <v>0</v>
      </c>
      <c r="Z4" s="4">
        <f t="shared" si="0"/>
        <v>0</v>
      </c>
      <c r="AA4" s="12">
        <f t="shared" si="0"/>
        <v>0</v>
      </c>
      <c r="AB4" s="4">
        <f t="shared" si="0"/>
        <v>0</v>
      </c>
      <c r="AC4" s="4">
        <f t="shared" si="0"/>
        <v>0</v>
      </c>
      <c r="AD4" s="4">
        <f t="shared" si="0"/>
        <v>0</v>
      </c>
      <c r="AE4" s="12">
        <f t="shared" si="0"/>
        <v>0</v>
      </c>
      <c r="AF4" s="4">
        <f t="shared" si="0"/>
        <v>0</v>
      </c>
      <c r="AG4" s="4">
        <f t="shared" si="0"/>
        <v>0</v>
      </c>
      <c r="AH4" s="4">
        <f t="shared" si="0"/>
        <v>0</v>
      </c>
      <c r="AI4" s="12">
        <f t="shared" si="0"/>
        <v>0</v>
      </c>
      <c r="AJ4" s="4">
        <f t="shared" si="0"/>
        <v>0</v>
      </c>
      <c r="AK4" s="4">
        <f t="shared" si="0"/>
        <v>0</v>
      </c>
      <c r="AL4" s="4">
        <f t="shared" si="0"/>
        <v>0</v>
      </c>
      <c r="AM4" s="12">
        <f t="shared" si="0"/>
        <v>0</v>
      </c>
      <c r="AN4" s="4">
        <f t="shared" si="0"/>
        <v>0</v>
      </c>
      <c r="AO4" s="4">
        <f t="shared" si="0"/>
        <v>0</v>
      </c>
      <c r="AP4" s="4">
        <f t="shared" si="0"/>
        <v>0</v>
      </c>
      <c r="AQ4" s="12">
        <f t="shared" si="0"/>
        <v>0</v>
      </c>
      <c r="AR4" s="4">
        <f t="shared" si="0"/>
        <v>0</v>
      </c>
      <c r="AS4" s="4">
        <f t="shared" si="0"/>
        <v>0</v>
      </c>
    </row>
    <row r="5" spans="1:45" x14ac:dyDescent="0.2">
      <c r="A5" s="18" t="s">
        <v>10</v>
      </c>
      <c r="B5" s="1">
        <v>0</v>
      </c>
      <c r="C5" s="8">
        <v>0</v>
      </c>
      <c r="D5" s="4">
        <f>D4*$B$6</f>
        <v>0</v>
      </c>
      <c r="E5" s="4">
        <f>E4*$B$6</f>
        <v>0</v>
      </c>
      <c r="F5" s="4">
        <f t="shared" ref="F5:AS5" si="1">F4*$B$6</f>
        <v>0</v>
      </c>
      <c r="G5" s="12">
        <f t="shared" si="1"/>
        <v>0</v>
      </c>
      <c r="H5" s="4">
        <f t="shared" si="1"/>
        <v>0</v>
      </c>
      <c r="I5" s="4">
        <f t="shared" si="1"/>
        <v>0</v>
      </c>
      <c r="J5" s="4">
        <f t="shared" si="1"/>
        <v>0</v>
      </c>
      <c r="K5" s="12">
        <f t="shared" si="1"/>
        <v>0</v>
      </c>
      <c r="L5" s="4">
        <f t="shared" si="1"/>
        <v>0</v>
      </c>
      <c r="M5" s="4">
        <f t="shared" si="1"/>
        <v>0</v>
      </c>
      <c r="N5" s="4">
        <f t="shared" si="1"/>
        <v>0</v>
      </c>
      <c r="O5" s="12">
        <f t="shared" si="1"/>
        <v>0</v>
      </c>
      <c r="P5" s="4">
        <f t="shared" si="1"/>
        <v>0</v>
      </c>
      <c r="Q5" s="4">
        <f t="shared" si="1"/>
        <v>0</v>
      </c>
      <c r="R5" s="4">
        <f t="shared" si="1"/>
        <v>0</v>
      </c>
      <c r="S5" s="12">
        <f t="shared" si="1"/>
        <v>0</v>
      </c>
      <c r="T5" s="4">
        <f t="shared" si="1"/>
        <v>0</v>
      </c>
      <c r="U5" s="4">
        <f t="shared" si="1"/>
        <v>0</v>
      </c>
      <c r="V5" s="4">
        <f t="shared" si="1"/>
        <v>0</v>
      </c>
      <c r="W5" s="12">
        <f t="shared" si="1"/>
        <v>0</v>
      </c>
      <c r="X5" s="4">
        <f t="shared" si="1"/>
        <v>0</v>
      </c>
      <c r="Y5" s="4">
        <f t="shared" si="1"/>
        <v>0</v>
      </c>
      <c r="Z5" s="4">
        <f t="shared" si="1"/>
        <v>0</v>
      </c>
      <c r="AA5" s="12">
        <f t="shared" si="1"/>
        <v>0</v>
      </c>
      <c r="AB5" s="4">
        <f t="shared" si="1"/>
        <v>0</v>
      </c>
      <c r="AC5" s="4">
        <f t="shared" si="1"/>
        <v>0</v>
      </c>
      <c r="AD5" s="4">
        <f t="shared" si="1"/>
        <v>0</v>
      </c>
      <c r="AE5" s="12">
        <f t="shared" si="1"/>
        <v>0</v>
      </c>
      <c r="AF5" s="4">
        <f t="shared" si="1"/>
        <v>0</v>
      </c>
      <c r="AG5" s="4">
        <f t="shared" si="1"/>
        <v>0</v>
      </c>
      <c r="AH5" s="4">
        <f t="shared" si="1"/>
        <v>0</v>
      </c>
      <c r="AI5" s="12">
        <f t="shared" si="1"/>
        <v>0</v>
      </c>
      <c r="AJ5" s="4">
        <f t="shared" si="1"/>
        <v>0</v>
      </c>
      <c r="AK5" s="4">
        <f t="shared" si="1"/>
        <v>0</v>
      </c>
      <c r="AL5" s="4">
        <f t="shared" si="1"/>
        <v>0</v>
      </c>
      <c r="AM5" s="12">
        <f t="shared" si="1"/>
        <v>0</v>
      </c>
      <c r="AN5" s="4">
        <f t="shared" si="1"/>
        <v>0</v>
      </c>
      <c r="AO5" s="4">
        <f t="shared" si="1"/>
        <v>0</v>
      </c>
      <c r="AP5" s="4">
        <f t="shared" si="1"/>
        <v>0</v>
      </c>
      <c r="AQ5" s="12">
        <f t="shared" si="1"/>
        <v>0</v>
      </c>
      <c r="AR5" s="4">
        <f t="shared" si="1"/>
        <v>0</v>
      </c>
      <c r="AS5" s="4">
        <f t="shared" si="1"/>
        <v>0</v>
      </c>
    </row>
    <row r="6" spans="1:45" x14ac:dyDescent="0.2">
      <c r="A6" s="1" t="s">
        <v>5</v>
      </c>
      <c r="B6" s="3">
        <v>0.23</v>
      </c>
      <c r="C6" s="17" t="s">
        <v>8</v>
      </c>
      <c r="E6" s="19" t="s">
        <v>6</v>
      </c>
      <c r="F6" s="19"/>
      <c r="G6" s="19"/>
      <c r="H6" s="19"/>
      <c r="I6" s="22">
        <f>SUM(B2:AS2)*7</f>
        <v>10536.855000000005</v>
      </c>
      <c r="J6" s="22"/>
      <c r="K6" s="24" t="s">
        <v>4</v>
      </c>
      <c r="L6" s="24"/>
      <c r="M6" s="24"/>
      <c r="N6" s="20">
        <f>SUM(B3:AS3)*7</f>
        <v>441</v>
      </c>
      <c r="O6" s="20"/>
      <c r="P6" s="23" t="s">
        <v>9</v>
      </c>
      <c r="Q6" s="23"/>
      <c r="R6" s="23"/>
      <c r="S6" s="23"/>
      <c r="T6" s="21">
        <f>SUM(B5:AS5)</f>
        <v>0</v>
      </c>
      <c r="U6" s="21"/>
      <c r="V6" s="16"/>
      <c r="W6" s="13"/>
      <c r="AA6" s="14"/>
      <c r="AB6" s="5"/>
      <c r="AC6" s="5"/>
      <c r="AD6" s="5"/>
      <c r="AE6" s="14"/>
      <c r="AF6" s="5"/>
      <c r="AG6" s="5"/>
      <c r="AH6" s="5"/>
      <c r="AI6" s="14"/>
      <c r="AJ6" s="5"/>
      <c r="AK6" s="5"/>
      <c r="AL6" s="5"/>
      <c r="AM6" s="14"/>
      <c r="AN6" s="5"/>
      <c r="AO6" s="5"/>
      <c r="AP6" s="5"/>
      <c r="AQ6" s="14"/>
      <c r="AR6" s="5"/>
      <c r="AS6" s="5"/>
    </row>
  </sheetData>
  <mergeCells count="6">
    <mergeCell ref="T6:U6"/>
    <mergeCell ref="E6:H6"/>
    <mergeCell ref="I6:J6"/>
    <mergeCell ref="K6:M6"/>
    <mergeCell ref="N6:O6"/>
    <mergeCell ref="P6:S6"/>
  </mergeCells>
  <pageMargins left="0.75" right="0.75" top="1" bottom="1" header="0.5" footer="0.5"/>
  <pageSetup paperSize="9" orientation="landscape" r:id="rId1"/>
  <headerFooter alignWithMargins="0">
    <oddHeader>&amp;A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S6"/>
  <sheetViews>
    <sheetView zoomScale="90" workbookViewId="0">
      <selection activeCell="AC22" sqref="AC22"/>
    </sheetView>
  </sheetViews>
  <sheetFormatPr defaultRowHeight="12.75" x14ac:dyDescent="0.2"/>
  <cols>
    <col min="1" max="1" width="17" customWidth="1"/>
    <col min="2" max="2" width="5.7109375" customWidth="1"/>
    <col min="3" max="3" width="5.7109375" style="11" customWidth="1"/>
    <col min="4" max="6" width="5.7109375" customWidth="1"/>
    <col min="7" max="7" width="5.7109375" style="11" customWidth="1"/>
    <col min="8" max="10" width="5.7109375" customWidth="1"/>
    <col min="11" max="11" width="5.7109375" style="11" customWidth="1"/>
    <col min="12" max="14" width="5.7109375" customWidth="1"/>
    <col min="15" max="15" width="5.7109375" style="11" customWidth="1"/>
    <col min="16" max="18" width="5.7109375" customWidth="1"/>
    <col min="19" max="19" width="5.7109375" style="11" customWidth="1"/>
    <col min="20" max="22" width="5.7109375" customWidth="1"/>
    <col min="23" max="23" width="5.7109375" style="11" customWidth="1"/>
    <col min="24" max="26" width="5.7109375" customWidth="1"/>
    <col min="27" max="27" width="5.7109375" style="11" customWidth="1"/>
    <col min="28" max="30" width="5.7109375" customWidth="1"/>
    <col min="31" max="31" width="5.7109375" style="11" customWidth="1"/>
    <col min="32" max="34" width="5.7109375" customWidth="1"/>
    <col min="35" max="35" width="5.7109375" style="11" customWidth="1"/>
    <col min="36" max="38" width="5.7109375" customWidth="1"/>
    <col min="39" max="39" width="5.7109375" style="11" customWidth="1"/>
    <col min="40" max="42" width="5.7109375" customWidth="1"/>
    <col min="43" max="43" width="5.7109375" style="11" customWidth="1"/>
    <col min="44" max="45" width="5.7109375" customWidth="1"/>
  </cols>
  <sheetData>
    <row r="1" spans="1:45" x14ac:dyDescent="0.2">
      <c r="A1" s="1" t="s">
        <v>0</v>
      </c>
      <c r="B1" s="1">
        <v>1</v>
      </c>
      <c r="C1" s="8">
        <v>2</v>
      </c>
      <c r="D1" s="1">
        <v>3</v>
      </c>
      <c r="E1" s="1">
        <v>4</v>
      </c>
      <c r="F1" s="1">
        <v>5</v>
      </c>
      <c r="G1" s="8">
        <v>6</v>
      </c>
      <c r="H1" s="1">
        <v>7</v>
      </c>
      <c r="I1" s="1">
        <v>8</v>
      </c>
      <c r="J1" s="1">
        <v>9</v>
      </c>
      <c r="K1" s="8">
        <v>10</v>
      </c>
      <c r="L1" s="1">
        <v>11</v>
      </c>
      <c r="M1" s="1">
        <v>12</v>
      </c>
      <c r="N1" s="1">
        <v>13</v>
      </c>
      <c r="O1" s="8">
        <v>14</v>
      </c>
      <c r="P1" s="1">
        <v>15</v>
      </c>
      <c r="Q1" s="1">
        <v>16</v>
      </c>
      <c r="R1" s="1">
        <v>17</v>
      </c>
      <c r="S1" s="8">
        <v>18</v>
      </c>
      <c r="T1" s="1">
        <v>19</v>
      </c>
      <c r="U1" s="1">
        <v>20</v>
      </c>
      <c r="V1" s="1">
        <v>21</v>
      </c>
      <c r="W1" s="8">
        <v>22</v>
      </c>
      <c r="X1" s="1">
        <v>23</v>
      </c>
      <c r="Y1" s="1">
        <v>24</v>
      </c>
      <c r="Z1" s="1">
        <v>25</v>
      </c>
      <c r="AA1" s="8">
        <v>26</v>
      </c>
      <c r="AB1" s="1">
        <v>27</v>
      </c>
      <c r="AC1" s="1">
        <v>28</v>
      </c>
      <c r="AD1" s="1">
        <v>29</v>
      </c>
      <c r="AE1" s="8">
        <v>30</v>
      </c>
      <c r="AF1" s="1">
        <v>31</v>
      </c>
      <c r="AG1" s="1">
        <v>32</v>
      </c>
      <c r="AH1" s="1">
        <v>33</v>
      </c>
      <c r="AI1" s="8">
        <v>34</v>
      </c>
      <c r="AJ1" s="1">
        <v>35</v>
      </c>
      <c r="AK1" s="1">
        <v>36</v>
      </c>
      <c r="AL1" s="1">
        <v>37</v>
      </c>
      <c r="AM1" s="8">
        <v>38</v>
      </c>
      <c r="AN1" s="1">
        <v>39</v>
      </c>
      <c r="AO1" s="1">
        <v>40</v>
      </c>
      <c r="AP1" s="1">
        <v>41</v>
      </c>
      <c r="AQ1" s="8">
        <v>42</v>
      </c>
      <c r="AR1" s="1">
        <v>43</v>
      </c>
      <c r="AS1" s="1">
        <v>44</v>
      </c>
    </row>
    <row r="2" spans="1:45" x14ac:dyDescent="0.2">
      <c r="A2" s="1" t="s">
        <v>3</v>
      </c>
      <c r="B2" s="6">
        <f>B3</f>
        <v>19</v>
      </c>
      <c r="C2" s="9">
        <f>C3</f>
        <v>25</v>
      </c>
      <c r="D2" s="4">
        <f>$C$2/0.892857142857143</f>
        <v>27.999999999999996</v>
      </c>
      <c r="E2" s="4">
        <f>$C$2/0.806451612903226</f>
        <v>30.999999999999993</v>
      </c>
      <c r="F2" s="4">
        <f>$C$2/0.78125</f>
        <v>32</v>
      </c>
      <c r="G2" s="12">
        <f>$C$2/0.769230769230769</f>
        <v>32.500000000000007</v>
      </c>
      <c r="H2" s="4">
        <f>$C$2/0.778816199376947</f>
        <v>32.1</v>
      </c>
      <c r="I2" s="4">
        <f>$C$2/0.798722044728434</f>
        <v>31.300000000000018</v>
      </c>
      <c r="J2" s="4">
        <f>$C$2/0.814332247557003</f>
        <v>30.70000000000001</v>
      </c>
      <c r="K2" s="12">
        <f>$C$2/0.833333333333333</f>
        <v>30.000000000000011</v>
      </c>
      <c r="L2" s="4">
        <f>$C$2/0.851063829787234</f>
        <v>29.375</v>
      </c>
      <c r="M2" s="4">
        <f>$C$2/0.869565217391304</f>
        <v>28.750000000000011</v>
      </c>
      <c r="N2" s="4">
        <f>$C$2/0.888888888888889</f>
        <v>28.124999999999996</v>
      </c>
      <c r="O2" s="12">
        <f>$C$2/0.909090909090909</f>
        <v>27.500000000000004</v>
      </c>
      <c r="P2" s="4">
        <f>$C$2/0.930232558139535</f>
        <v>26.874999999999996</v>
      </c>
      <c r="Q2" s="4">
        <f>$C$2/0.952380952380952</f>
        <v>26.250000000000011</v>
      </c>
      <c r="R2" s="4">
        <f>$C$2/0.975609756097561</f>
        <v>25.625</v>
      </c>
      <c r="S2" s="12">
        <f>$C$2/1</f>
        <v>25</v>
      </c>
      <c r="T2" s="4">
        <f>$C$2/1.02564102564103</f>
        <v>24.374999999999897</v>
      </c>
      <c r="U2" s="4">
        <f>$C$2/1.05263157894737</f>
        <v>23.749999999999968</v>
      </c>
      <c r="V2" s="4">
        <f>$C$2/1.08108108108108</f>
        <v>23.125000000000021</v>
      </c>
      <c r="W2" s="12">
        <f>$C$2/1.11111111111111</f>
        <v>22.500000000000021</v>
      </c>
      <c r="X2" s="4">
        <f>$C$2/1.14285714285714</f>
        <v>21.875000000000057</v>
      </c>
      <c r="Y2" s="4">
        <f>$C$2/1.17647058823529</f>
        <v>21.250000000000075</v>
      </c>
      <c r="Z2" s="4">
        <f>$C$2/1.21212121212121</f>
        <v>20.625000000000036</v>
      </c>
      <c r="AA2" s="12">
        <f>$C$2/1.25</f>
        <v>20</v>
      </c>
      <c r="AB2" s="4">
        <f>$C$2/1.29032258064516</f>
        <v>19.375000000000021</v>
      </c>
      <c r="AC2" s="4">
        <f>$C$2/1.33333333333333</f>
        <v>18.750000000000046</v>
      </c>
      <c r="AD2" s="4">
        <f>$C$2/1.37931034482759</f>
        <v>18.12499999999995</v>
      </c>
      <c r="AE2" s="12">
        <f>$C$2/1.42857142857143</f>
        <v>17.499999999999982</v>
      </c>
      <c r="AF2" s="4">
        <f>$C$2/1.48148148148148</f>
        <v>16.875000000000018</v>
      </c>
      <c r="AG2" s="4">
        <f>$C$2/1.53846153846154</f>
        <v>16.249999999999982</v>
      </c>
      <c r="AH2" s="4">
        <f>$C$2/1.6</f>
        <v>15.625</v>
      </c>
      <c r="AI2" s="12">
        <f>$C$2/1.66666666666667</f>
        <v>14.99999999999997</v>
      </c>
      <c r="AJ2" s="4">
        <f>$C$2/1.73913043478261</f>
        <v>14.374999999999989</v>
      </c>
      <c r="AK2" s="4">
        <f>$C$2/1.81818181818182</f>
        <v>13.749999999999988</v>
      </c>
      <c r="AL2" s="4">
        <f>$C$2/1.9047619047619</f>
        <v>13.125000000000032</v>
      </c>
      <c r="AM2" s="12">
        <f>$C$2/2</f>
        <v>12.5</v>
      </c>
      <c r="AN2" s="4">
        <f>$C$2/2.10526315789474</f>
        <v>11.874999999999984</v>
      </c>
      <c r="AO2" s="4">
        <f>$C$2/2.22222222222222</f>
        <v>11.250000000000011</v>
      </c>
      <c r="AP2" s="4">
        <f>$C$2/2.35294117647059</f>
        <v>10.624999999999991</v>
      </c>
      <c r="AQ2" s="12">
        <f>$C$2/2.5</f>
        <v>10</v>
      </c>
      <c r="AR2" s="4">
        <f>$C$2/2.66666666666667</f>
        <v>9.3749999999999876</v>
      </c>
      <c r="AS2" s="4">
        <f>$C$2/2.85714285714286</f>
        <v>8.7499999999999911</v>
      </c>
    </row>
    <row r="3" spans="1:45" x14ac:dyDescent="0.2">
      <c r="A3" s="1" t="s">
        <v>2</v>
      </c>
      <c r="B3" s="2">
        <v>19</v>
      </c>
      <c r="C3" s="10">
        <v>25</v>
      </c>
      <c r="D3" s="2"/>
      <c r="E3" s="2"/>
      <c r="F3" s="2"/>
      <c r="G3" s="10"/>
      <c r="H3" s="2"/>
      <c r="I3" s="2"/>
      <c r="J3" s="2"/>
      <c r="K3" s="10"/>
      <c r="L3" s="2"/>
      <c r="M3" s="2"/>
      <c r="N3" s="2"/>
      <c r="O3" s="10"/>
      <c r="P3" s="2"/>
      <c r="Q3" s="2"/>
      <c r="R3" s="2"/>
      <c r="S3" s="10"/>
      <c r="T3" s="2"/>
      <c r="U3" s="2"/>
      <c r="V3" s="2"/>
      <c r="W3" s="10"/>
      <c r="X3" s="2"/>
      <c r="Y3" s="2"/>
      <c r="Z3" s="2"/>
      <c r="AA3" s="10"/>
      <c r="AB3" s="2"/>
      <c r="AC3" s="2"/>
      <c r="AD3" s="2"/>
      <c r="AE3" s="10"/>
      <c r="AF3" s="2"/>
      <c r="AG3" s="2"/>
      <c r="AH3" s="2"/>
      <c r="AI3" s="10"/>
      <c r="AJ3" s="2"/>
      <c r="AK3" s="2"/>
      <c r="AL3" s="2"/>
      <c r="AM3" s="10"/>
      <c r="AN3" s="2"/>
      <c r="AO3" s="2"/>
      <c r="AP3" s="2"/>
      <c r="AQ3" s="10"/>
      <c r="AR3" s="2"/>
      <c r="AS3" s="2"/>
    </row>
    <row r="4" spans="1:45" x14ac:dyDescent="0.2">
      <c r="A4" s="1" t="s">
        <v>1</v>
      </c>
      <c r="B4" s="1">
        <v>0</v>
      </c>
      <c r="C4" s="8">
        <v>0</v>
      </c>
      <c r="D4" s="4">
        <f>IF(D3=0,0,(D2-D3)*7)</f>
        <v>0</v>
      </c>
      <c r="E4" s="4">
        <f t="shared" ref="E4:AS4" si="0">IF(E3=0,0,(E2-E3)*7)</f>
        <v>0</v>
      </c>
      <c r="F4" s="4">
        <f t="shared" si="0"/>
        <v>0</v>
      </c>
      <c r="G4" s="12">
        <f t="shared" si="0"/>
        <v>0</v>
      </c>
      <c r="H4" s="4">
        <f t="shared" si="0"/>
        <v>0</v>
      </c>
      <c r="I4" s="4">
        <f t="shared" si="0"/>
        <v>0</v>
      </c>
      <c r="J4" s="4">
        <f t="shared" si="0"/>
        <v>0</v>
      </c>
      <c r="K4" s="12">
        <f t="shared" si="0"/>
        <v>0</v>
      </c>
      <c r="L4" s="4">
        <f t="shared" si="0"/>
        <v>0</v>
      </c>
      <c r="M4" s="4">
        <f t="shared" si="0"/>
        <v>0</v>
      </c>
      <c r="N4" s="4">
        <f t="shared" si="0"/>
        <v>0</v>
      </c>
      <c r="O4" s="12">
        <f t="shared" si="0"/>
        <v>0</v>
      </c>
      <c r="P4" s="4">
        <f t="shared" si="0"/>
        <v>0</v>
      </c>
      <c r="Q4" s="4">
        <f t="shared" si="0"/>
        <v>0</v>
      </c>
      <c r="R4" s="4">
        <f t="shared" si="0"/>
        <v>0</v>
      </c>
      <c r="S4" s="12">
        <f t="shared" si="0"/>
        <v>0</v>
      </c>
      <c r="T4" s="4">
        <f t="shared" si="0"/>
        <v>0</v>
      </c>
      <c r="U4" s="4">
        <f t="shared" si="0"/>
        <v>0</v>
      </c>
      <c r="V4" s="4">
        <f t="shared" si="0"/>
        <v>0</v>
      </c>
      <c r="W4" s="12">
        <f t="shared" si="0"/>
        <v>0</v>
      </c>
      <c r="X4" s="4">
        <f t="shared" si="0"/>
        <v>0</v>
      </c>
      <c r="Y4" s="4">
        <f t="shared" si="0"/>
        <v>0</v>
      </c>
      <c r="Z4" s="4">
        <f t="shared" si="0"/>
        <v>0</v>
      </c>
      <c r="AA4" s="12">
        <f t="shared" si="0"/>
        <v>0</v>
      </c>
      <c r="AB4" s="4">
        <f t="shared" si="0"/>
        <v>0</v>
      </c>
      <c r="AC4" s="4">
        <f t="shared" si="0"/>
        <v>0</v>
      </c>
      <c r="AD4" s="4">
        <f t="shared" si="0"/>
        <v>0</v>
      </c>
      <c r="AE4" s="12">
        <f t="shared" si="0"/>
        <v>0</v>
      </c>
      <c r="AF4" s="4">
        <f t="shared" si="0"/>
        <v>0</v>
      </c>
      <c r="AG4" s="4">
        <f t="shared" si="0"/>
        <v>0</v>
      </c>
      <c r="AH4" s="4">
        <f t="shared" si="0"/>
        <v>0</v>
      </c>
      <c r="AI4" s="12">
        <f t="shared" si="0"/>
        <v>0</v>
      </c>
      <c r="AJ4" s="4">
        <f t="shared" si="0"/>
        <v>0</v>
      </c>
      <c r="AK4" s="4">
        <f t="shared" si="0"/>
        <v>0</v>
      </c>
      <c r="AL4" s="4">
        <f t="shared" si="0"/>
        <v>0</v>
      </c>
      <c r="AM4" s="12">
        <f t="shared" si="0"/>
        <v>0</v>
      </c>
      <c r="AN4" s="4">
        <f t="shared" si="0"/>
        <v>0</v>
      </c>
      <c r="AO4" s="4">
        <f t="shared" si="0"/>
        <v>0</v>
      </c>
      <c r="AP4" s="4">
        <f t="shared" si="0"/>
        <v>0</v>
      </c>
      <c r="AQ4" s="12">
        <f t="shared" si="0"/>
        <v>0</v>
      </c>
      <c r="AR4" s="4">
        <f t="shared" si="0"/>
        <v>0</v>
      </c>
      <c r="AS4" s="4">
        <f t="shared" si="0"/>
        <v>0</v>
      </c>
    </row>
    <row r="5" spans="1:45" x14ac:dyDescent="0.2">
      <c r="A5" s="18" t="s">
        <v>10</v>
      </c>
      <c r="B5" s="1">
        <v>0</v>
      </c>
      <c r="C5" s="8">
        <v>0</v>
      </c>
      <c r="D5" s="4">
        <f>D4*$B$6</f>
        <v>0</v>
      </c>
      <c r="E5" s="4">
        <f t="shared" ref="E5:AS5" si="1">E4*$B$6</f>
        <v>0</v>
      </c>
      <c r="F5" s="4">
        <f t="shared" si="1"/>
        <v>0</v>
      </c>
      <c r="G5" s="12">
        <f t="shared" si="1"/>
        <v>0</v>
      </c>
      <c r="H5" s="4">
        <f t="shared" si="1"/>
        <v>0</v>
      </c>
      <c r="I5" s="4">
        <f t="shared" si="1"/>
        <v>0</v>
      </c>
      <c r="J5" s="4">
        <f t="shared" si="1"/>
        <v>0</v>
      </c>
      <c r="K5" s="12">
        <f t="shared" si="1"/>
        <v>0</v>
      </c>
      <c r="L5" s="4">
        <f t="shared" si="1"/>
        <v>0</v>
      </c>
      <c r="M5" s="4">
        <f t="shared" si="1"/>
        <v>0</v>
      </c>
      <c r="N5" s="4">
        <f t="shared" si="1"/>
        <v>0</v>
      </c>
      <c r="O5" s="12">
        <f t="shared" si="1"/>
        <v>0</v>
      </c>
      <c r="P5" s="4">
        <f t="shared" si="1"/>
        <v>0</v>
      </c>
      <c r="Q5" s="4">
        <f t="shared" si="1"/>
        <v>0</v>
      </c>
      <c r="R5" s="4">
        <f t="shared" si="1"/>
        <v>0</v>
      </c>
      <c r="S5" s="12">
        <f t="shared" si="1"/>
        <v>0</v>
      </c>
      <c r="T5" s="4">
        <f t="shared" si="1"/>
        <v>0</v>
      </c>
      <c r="U5" s="4">
        <f t="shared" si="1"/>
        <v>0</v>
      </c>
      <c r="V5" s="4">
        <f t="shared" si="1"/>
        <v>0</v>
      </c>
      <c r="W5" s="12">
        <f t="shared" si="1"/>
        <v>0</v>
      </c>
      <c r="X5" s="4">
        <f t="shared" si="1"/>
        <v>0</v>
      </c>
      <c r="Y5" s="4">
        <f t="shared" si="1"/>
        <v>0</v>
      </c>
      <c r="Z5" s="4">
        <f t="shared" si="1"/>
        <v>0</v>
      </c>
      <c r="AA5" s="12">
        <f t="shared" si="1"/>
        <v>0</v>
      </c>
      <c r="AB5" s="4">
        <f t="shared" si="1"/>
        <v>0</v>
      </c>
      <c r="AC5" s="4">
        <f t="shared" si="1"/>
        <v>0</v>
      </c>
      <c r="AD5" s="4">
        <f t="shared" si="1"/>
        <v>0</v>
      </c>
      <c r="AE5" s="12">
        <f t="shared" si="1"/>
        <v>0</v>
      </c>
      <c r="AF5" s="4">
        <f t="shared" si="1"/>
        <v>0</v>
      </c>
      <c r="AG5" s="4">
        <f t="shared" si="1"/>
        <v>0</v>
      </c>
      <c r="AH5" s="4">
        <f t="shared" si="1"/>
        <v>0</v>
      </c>
      <c r="AI5" s="12">
        <f t="shared" si="1"/>
        <v>0</v>
      </c>
      <c r="AJ5" s="4">
        <f t="shared" si="1"/>
        <v>0</v>
      </c>
      <c r="AK5" s="4">
        <f t="shared" si="1"/>
        <v>0</v>
      </c>
      <c r="AL5" s="4">
        <f t="shared" si="1"/>
        <v>0</v>
      </c>
      <c r="AM5" s="12">
        <f t="shared" si="1"/>
        <v>0</v>
      </c>
      <c r="AN5" s="4">
        <f t="shared" si="1"/>
        <v>0</v>
      </c>
      <c r="AO5" s="4">
        <f t="shared" si="1"/>
        <v>0</v>
      </c>
      <c r="AP5" s="4">
        <f t="shared" si="1"/>
        <v>0</v>
      </c>
      <c r="AQ5" s="12">
        <f t="shared" si="1"/>
        <v>0</v>
      </c>
      <c r="AR5" s="4">
        <f t="shared" si="1"/>
        <v>0</v>
      </c>
      <c r="AS5" s="4">
        <f t="shared" si="1"/>
        <v>0</v>
      </c>
    </row>
    <row r="6" spans="1:45" x14ac:dyDescent="0.2">
      <c r="A6" s="1" t="s">
        <v>5</v>
      </c>
      <c r="B6" s="15">
        <v>0.25</v>
      </c>
      <c r="C6" s="17" t="s">
        <v>8</v>
      </c>
      <c r="D6" s="19" t="s">
        <v>6</v>
      </c>
      <c r="E6" s="19"/>
      <c r="F6" s="19"/>
      <c r="G6" s="19"/>
      <c r="H6" s="22">
        <f>SUM(B2:AS2)*7</f>
        <v>6578.0749999999998</v>
      </c>
      <c r="I6" s="22"/>
      <c r="J6" s="25" t="s">
        <v>4</v>
      </c>
      <c r="K6" s="25"/>
      <c r="L6" s="25"/>
      <c r="M6" s="25"/>
      <c r="N6" s="20">
        <f>SUM(B3:AS3)*7</f>
        <v>308</v>
      </c>
      <c r="O6" s="20"/>
      <c r="P6" s="23" t="s">
        <v>9</v>
      </c>
      <c r="Q6" s="23"/>
      <c r="R6" s="23"/>
      <c r="S6" s="23"/>
      <c r="T6" s="23">
        <f>SUM(B5:AS5)</f>
        <v>0</v>
      </c>
      <c r="U6" s="23"/>
      <c r="V6" s="7"/>
      <c r="W6" s="13"/>
      <c r="AA6" s="14"/>
      <c r="AB6" s="5"/>
      <c r="AC6" s="5"/>
      <c r="AD6" s="5"/>
      <c r="AE6" s="14"/>
      <c r="AF6" s="5"/>
      <c r="AG6" s="5"/>
      <c r="AH6" s="5"/>
      <c r="AI6" s="14"/>
      <c r="AJ6" s="5"/>
      <c r="AK6" s="5"/>
      <c r="AL6" s="5"/>
      <c r="AM6" s="14"/>
      <c r="AN6" s="5"/>
      <c r="AO6" s="5"/>
      <c r="AP6" s="5"/>
      <c r="AQ6" s="14"/>
      <c r="AR6" s="5"/>
      <c r="AS6" s="5"/>
    </row>
  </sheetData>
  <mergeCells count="6">
    <mergeCell ref="P6:S6"/>
    <mergeCell ref="T6:U6"/>
    <mergeCell ref="D6:G6"/>
    <mergeCell ref="H6:I6"/>
    <mergeCell ref="J6:M6"/>
    <mergeCell ref="N6:O6"/>
  </mergeCells>
  <phoneticPr fontId="0" type="noConversion"/>
  <pageMargins left="0.75" right="0.75" top="1" bottom="1" header="0.5" footer="0.5"/>
  <pageSetup paperSize="9" orientation="landscape" r:id="rId1"/>
  <headerFooter alignWithMargins="0">
    <oddHeader>&amp;A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S6"/>
  <sheetViews>
    <sheetView zoomScale="90" workbookViewId="0">
      <selection activeCell="AC22" sqref="AC22"/>
    </sheetView>
  </sheetViews>
  <sheetFormatPr defaultRowHeight="12.75" x14ac:dyDescent="0.2"/>
  <cols>
    <col min="1" max="1" width="17" customWidth="1"/>
    <col min="2" max="2" width="5.7109375" customWidth="1"/>
    <col min="3" max="3" width="5.7109375" style="11" customWidth="1"/>
    <col min="4" max="6" width="5.7109375" customWidth="1"/>
    <col min="7" max="7" width="5.7109375" style="11" customWidth="1"/>
    <col min="8" max="10" width="5.7109375" customWidth="1"/>
    <col min="11" max="11" width="5.7109375" style="11" customWidth="1"/>
    <col min="12" max="14" width="5.7109375" customWidth="1"/>
    <col min="15" max="15" width="5.7109375" style="11" customWidth="1"/>
    <col min="16" max="18" width="5.7109375" customWidth="1"/>
    <col min="19" max="19" width="5.7109375" style="11" customWidth="1"/>
    <col min="20" max="22" width="5.7109375" customWidth="1"/>
    <col min="23" max="23" width="5.7109375" style="11" customWidth="1"/>
    <col min="24" max="26" width="5.7109375" customWidth="1"/>
    <col min="27" max="27" width="5.7109375" style="11" customWidth="1"/>
    <col min="28" max="30" width="5.7109375" customWidth="1"/>
    <col min="31" max="31" width="5.7109375" style="11" customWidth="1"/>
    <col min="32" max="34" width="5.7109375" customWidth="1"/>
    <col min="35" max="35" width="5.7109375" style="11" customWidth="1"/>
    <col min="36" max="38" width="5.7109375" customWidth="1"/>
    <col min="39" max="39" width="5.7109375" style="11" customWidth="1"/>
    <col min="40" max="42" width="5.7109375" customWidth="1"/>
    <col min="43" max="43" width="5.7109375" style="11" customWidth="1"/>
    <col min="44" max="45" width="5.7109375" customWidth="1"/>
  </cols>
  <sheetData>
    <row r="1" spans="1:45" x14ac:dyDescent="0.2">
      <c r="A1" s="1" t="s">
        <v>0</v>
      </c>
      <c r="B1" s="1">
        <v>1</v>
      </c>
      <c r="C1" s="8">
        <v>2</v>
      </c>
      <c r="D1" s="1">
        <v>3</v>
      </c>
      <c r="E1" s="1">
        <v>4</v>
      </c>
      <c r="F1" s="1">
        <v>5</v>
      </c>
      <c r="G1" s="8">
        <v>6</v>
      </c>
      <c r="H1" s="1">
        <v>7</v>
      </c>
      <c r="I1" s="1">
        <v>8</v>
      </c>
      <c r="J1" s="1">
        <v>9</v>
      </c>
      <c r="K1" s="8">
        <v>10</v>
      </c>
      <c r="L1" s="1">
        <v>11</v>
      </c>
      <c r="M1" s="1">
        <v>12</v>
      </c>
      <c r="N1" s="1">
        <v>13</v>
      </c>
      <c r="O1" s="8">
        <v>14</v>
      </c>
      <c r="P1" s="1">
        <v>15</v>
      </c>
      <c r="Q1" s="1">
        <v>16</v>
      </c>
      <c r="R1" s="1">
        <v>17</v>
      </c>
      <c r="S1" s="8">
        <v>18</v>
      </c>
      <c r="T1" s="1">
        <v>19</v>
      </c>
      <c r="U1" s="1">
        <v>20</v>
      </c>
      <c r="V1" s="1">
        <v>21</v>
      </c>
      <c r="W1" s="8">
        <v>22</v>
      </c>
      <c r="X1" s="1">
        <v>23</v>
      </c>
      <c r="Y1" s="1">
        <v>24</v>
      </c>
      <c r="Z1" s="1">
        <v>25</v>
      </c>
      <c r="AA1" s="8">
        <v>26</v>
      </c>
      <c r="AB1" s="1">
        <v>27</v>
      </c>
      <c r="AC1" s="1">
        <v>28</v>
      </c>
      <c r="AD1" s="1">
        <v>29</v>
      </c>
      <c r="AE1" s="8">
        <v>30</v>
      </c>
      <c r="AF1" s="1">
        <v>31</v>
      </c>
      <c r="AG1" s="1">
        <v>32</v>
      </c>
      <c r="AH1" s="1">
        <v>33</v>
      </c>
      <c r="AI1" s="8">
        <v>34</v>
      </c>
      <c r="AJ1" s="1">
        <v>35</v>
      </c>
      <c r="AK1" s="1">
        <v>36</v>
      </c>
      <c r="AL1" s="1">
        <v>37</v>
      </c>
      <c r="AM1" s="8">
        <v>38</v>
      </c>
      <c r="AN1" s="1">
        <v>39</v>
      </c>
      <c r="AO1" s="1">
        <v>40</v>
      </c>
      <c r="AP1" s="1">
        <v>41</v>
      </c>
      <c r="AQ1" s="8">
        <v>42</v>
      </c>
      <c r="AR1" s="1">
        <v>43</v>
      </c>
      <c r="AS1" s="1">
        <v>44</v>
      </c>
    </row>
    <row r="2" spans="1:45" x14ac:dyDescent="0.2">
      <c r="A2" s="1" t="s">
        <v>3</v>
      </c>
      <c r="B2" s="6">
        <f>B3</f>
        <v>19</v>
      </c>
      <c r="C2" s="9">
        <f>C3</f>
        <v>25</v>
      </c>
      <c r="D2" s="4">
        <f>$C$2/0.892857142857143</f>
        <v>27.999999999999996</v>
      </c>
      <c r="E2" s="4">
        <f>$C$2/0.806451612903226</f>
        <v>30.999999999999993</v>
      </c>
      <c r="F2" s="4">
        <f>$C$2/0.78125</f>
        <v>32</v>
      </c>
      <c r="G2" s="12">
        <f>$C$2/0.769230769230769</f>
        <v>32.500000000000007</v>
      </c>
      <c r="H2" s="4">
        <f>$C$2/0.778816199376947</f>
        <v>32.1</v>
      </c>
      <c r="I2" s="4">
        <f>$C$2/0.798722044728434</f>
        <v>31.300000000000018</v>
      </c>
      <c r="J2" s="4">
        <f>$C$2/0.814332247557003</f>
        <v>30.70000000000001</v>
      </c>
      <c r="K2" s="12">
        <f>$C$2/0.833333333333333</f>
        <v>30.000000000000011</v>
      </c>
      <c r="L2" s="4">
        <f>$C$2/0.851063829787234</f>
        <v>29.375</v>
      </c>
      <c r="M2" s="4">
        <f>$C$2/0.869565217391304</f>
        <v>28.750000000000011</v>
      </c>
      <c r="N2" s="4">
        <f>$C$2/0.888888888888889</f>
        <v>28.124999999999996</v>
      </c>
      <c r="O2" s="12">
        <f>$C$2/0.909090909090909</f>
        <v>27.500000000000004</v>
      </c>
      <c r="P2" s="4">
        <f>$C$2/0.930232558139535</f>
        <v>26.874999999999996</v>
      </c>
      <c r="Q2" s="4">
        <f>$C$2/0.952380952380952</f>
        <v>26.250000000000011</v>
      </c>
      <c r="R2" s="4">
        <f>$C$2/0.975609756097561</f>
        <v>25.625</v>
      </c>
      <c r="S2" s="12">
        <f>$C$2/1</f>
        <v>25</v>
      </c>
      <c r="T2" s="4">
        <f>$C$2/1.02564102564103</f>
        <v>24.374999999999897</v>
      </c>
      <c r="U2" s="4">
        <f>$C$2/1.05263157894737</f>
        <v>23.749999999999968</v>
      </c>
      <c r="V2" s="4">
        <f>$C$2/1.08108108108108</f>
        <v>23.125000000000021</v>
      </c>
      <c r="W2" s="12">
        <f>$C$2/1.11111111111111</f>
        <v>22.500000000000021</v>
      </c>
      <c r="X2" s="4">
        <f>$C$2/1.14285714285714</f>
        <v>21.875000000000057</v>
      </c>
      <c r="Y2" s="4">
        <f>$C$2/1.17647058823529</f>
        <v>21.250000000000075</v>
      </c>
      <c r="Z2" s="4">
        <f>$C$2/1.21212121212121</f>
        <v>20.625000000000036</v>
      </c>
      <c r="AA2" s="12">
        <f>$C$2/1.25</f>
        <v>20</v>
      </c>
      <c r="AB2" s="4">
        <f>$C$2/1.29032258064516</f>
        <v>19.375000000000021</v>
      </c>
      <c r="AC2" s="4">
        <f>$C$2/1.33333333333333</f>
        <v>18.750000000000046</v>
      </c>
      <c r="AD2" s="4">
        <f>$C$2/1.37931034482759</f>
        <v>18.12499999999995</v>
      </c>
      <c r="AE2" s="12">
        <f>$C$2/1.42857142857143</f>
        <v>17.499999999999982</v>
      </c>
      <c r="AF2" s="4">
        <f>$C$2/1.48148148148148</f>
        <v>16.875000000000018</v>
      </c>
      <c r="AG2" s="4">
        <f>$C$2/1.53846153846154</f>
        <v>16.249999999999982</v>
      </c>
      <c r="AH2" s="4">
        <f>$C$2/1.6</f>
        <v>15.625</v>
      </c>
      <c r="AI2" s="12">
        <f>$C$2/1.66666666666667</f>
        <v>14.99999999999997</v>
      </c>
      <c r="AJ2" s="4">
        <f>$C$2/1.73913043478261</f>
        <v>14.374999999999989</v>
      </c>
      <c r="AK2" s="4">
        <f>$C$2/1.81818181818182</f>
        <v>13.749999999999988</v>
      </c>
      <c r="AL2" s="4">
        <f>$C$2/1.9047619047619</f>
        <v>13.125000000000032</v>
      </c>
      <c r="AM2" s="12">
        <f>$C$2/2</f>
        <v>12.5</v>
      </c>
      <c r="AN2" s="4">
        <f>$C$2/2.10526315789474</f>
        <v>11.874999999999984</v>
      </c>
      <c r="AO2" s="4">
        <f>$C$2/2.22222222222222</f>
        <v>11.250000000000011</v>
      </c>
      <c r="AP2" s="4">
        <f>$C$2/2.35294117647059</f>
        <v>10.624999999999991</v>
      </c>
      <c r="AQ2" s="12">
        <f>$C$2/2.5</f>
        <v>10</v>
      </c>
      <c r="AR2" s="4">
        <f>$C$2/2.66666666666667</f>
        <v>9.3749999999999876</v>
      </c>
      <c r="AS2" s="4">
        <f>$C$2/2.85714285714286</f>
        <v>8.7499999999999911</v>
      </c>
    </row>
    <row r="3" spans="1:45" x14ac:dyDescent="0.2">
      <c r="A3" s="1" t="s">
        <v>2</v>
      </c>
      <c r="B3" s="2">
        <v>19</v>
      </c>
      <c r="C3" s="10">
        <v>25</v>
      </c>
      <c r="D3" s="2"/>
      <c r="E3" s="2"/>
      <c r="F3" s="2"/>
      <c r="G3" s="10"/>
      <c r="H3" s="2"/>
      <c r="I3" s="2"/>
      <c r="J3" s="2"/>
      <c r="K3" s="10"/>
      <c r="L3" s="2"/>
      <c r="M3" s="2"/>
      <c r="N3" s="2"/>
      <c r="O3" s="10"/>
      <c r="P3" s="2"/>
      <c r="Q3" s="2"/>
      <c r="R3" s="2"/>
      <c r="S3" s="10"/>
      <c r="T3" s="2"/>
      <c r="U3" s="2"/>
      <c r="V3" s="2"/>
      <c r="W3" s="10"/>
      <c r="X3" s="2"/>
      <c r="Y3" s="2"/>
      <c r="Z3" s="2"/>
      <c r="AA3" s="10"/>
      <c r="AB3" s="2"/>
      <c r="AC3" s="2"/>
      <c r="AD3" s="2"/>
      <c r="AE3" s="10"/>
      <c r="AF3" s="2"/>
      <c r="AG3" s="2"/>
      <c r="AH3" s="2"/>
      <c r="AI3" s="10"/>
      <c r="AJ3" s="2"/>
      <c r="AK3" s="2"/>
      <c r="AL3" s="2"/>
      <c r="AM3" s="10"/>
      <c r="AN3" s="2"/>
      <c r="AO3" s="2"/>
      <c r="AP3" s="2"/>
      <c r="AQ3" s="10"/>
      <c r="AR3" s="2"/>
      <c r="AS3" s="2"/>
    </row>
    <row r="4" spans="1:45" x14ac:dyDescent="0.2">
      <c r="A4" s="1" t="s">
        <v>1</v>
      </c>
      <c r="B4" s="1">
        <v>0</v>
      </c>
      <c r="C4" s="8">
        <v>0</v>
      </c>
      <c r="D4" s="4">
        <f>IF(D3=0,0,(D2-D3)*7)</f>
        <v>0</v>
      </c>
      <c r="E4" s="4">
        <f t="shared" ref="E4:AS4" si="0">IF(E3=0,0,(E2-E3)*7)</f>
        <v>0</v>
      </c>
      <c r="F4" s="4">
        <f t="shared" si="0"/>
        <v>0</v>
      </c>
      <c r="G4" s="12">
        <f t="shared" si="0"/>
        <v>0</v>
      </c>
      <c r="H4" s="4">
        <f t="shared" si="0"/>
        <v>0</v>
      </c>
      <c r="I4" s="4">
        <f t="shared" si="0"/>
        <v>0</v>
      </c>
      <c r="J4" s="4">
        <f t="shared" si="0"/>
        <v>0</v>
      </c>
      <c r="K4" s="12">
        <f t="shared" si="0"/>
        <v>0</v>
      </c>
      <c r="L4" s="4">
        <f t="shared" si="0"/>
        <v>0</v>
      </c>
      <c r="M4" s="4">
        <f t="shared" si="0"/>
        <v>0</v>
      </c>
      <c r="N4" s="4">
        <f t="shared" si="0"/>
        <v>0</v>
      </c>
      <c r="O4" s="12">
        <f t="shared" si="0"/>
        <v>0</v>
      </c>
      <c r="P4" s="4">
        <f t="shared" si="0"/>
        <v>0</v>
      </c>
      <c r="Q4" s="4">
        <f t="shared" si="0"/>
        <v>0</v>
      </c>
      <c r="R4" s="4">
        <f t="shared" si="0"/>
        <v>0</v>
      </c>
      <c r="S4" s="12">
        <f t="shared" si="0"/>
        <v>0</v>
      </c>
      <c r="T4" s="4">
        <f t="shared" si="0"/>
        <v>0</v>
      </c>
      <c r="U4" s="4">
        <f t="shared" si="0"/>
        <v>0</v>
      </c>
      <c r="V4" s="4">
        <f t="shared" si="0"/>
        <v>0</v>
      </c>
      <c r="W4" s="12">
        <f t="shared" si="0"/>
        <v>0</v>
      </c>
      <c r="X4" s="4">
        <f t="shared" si="0"/>
        <v>0</v>
      </c>
      <c r="Y4" s="4">
        <f t="shared" si="0"/>
        <v>0</v>
      </c>
      <c r="Z4" s="4">
        <f t="shared" si="0"/>
        <v>0</v>
      </c>
      <c r="AA4" s="12">
        <f t="shared" si="0"/>
        <v>0</v>
      </c>
      <c r="AB4" s="4">
        <f t="shared" si="0"/>
        <v>0</v>
      </c>
      <c r="AC4" s="4">
        <f t="shared" si="0"/>
        <v>0</v>
      </c>
      <c r="AD4" s="4">
        <f t="shared" si="0"/>
        <v>0</v>
      </c>
      <c r="AE4" s="12">
        <f t="shared" si="0"/>
        <v>0</v>
      </c>
      <c r="AF4" s="4">
        <f t="shared" si="0"/>
        <v>0</v>
      </c>
      <c r="AG4" s="4">
        <f t="shared" si="0"/>
        <v>0</v>
      </c>
      <c r="AH4" s="4">
        <f t="shared" si="0"/>
        <v>0</v>
      </c>
      <c r="AI4" s="12">
        <f t="shared" si="0"/>
        <v>0</v>
      </c>
      <c r="AJ4" s="4">
        <f t="shared" si="0"/>
        <v>0</v>
      </c>
      <c r="AK4" s="4">
        <f t="shared" si="0"/>
        <v>0</v>
      </c>
      <c r="AL4" s="4">
        <f t="shared" si="0"/>
        <v>0</v>
      </c>
      <c r="AM4" s="12">
        <f t="shared" si="0"/>
        <v>0</v>
      </c>
      <c r="AN4" s="4">
        <f t="shared" si="0"/>
        <v>0</v>
      </c>
      <c r="AO4" s="4">
        <f t="shared" si="0"/>
        <v>0</v>
      </c>
      <c r="AP4" s="4">
        <f t="shared" si="0"/>
        <v>0</v>
      </c>
      <c r="AQ4" s="12">
        <f t="shared" si="0"/>
        <v>0</v>
      </c>
      <c r="AR4" s="4">
        <f t="shared" si="0"/>
        <v>0</v>
      </c>
      <c r="AS4" s="4">
        <f t="shared" si="0"/>
        <v>0</v>
      </c>
    </row>
    <row r="5" spans="1:45" x14ac:dyDescent="0.2">
      <c r="A5" s="18" t="s">
        <v>10</v>
      </c>
      <c r="B5" s="1">
        <v>0</v>
      </c>
      <c r="C5" s="8">
        <v>0</v>
      </c>
      <c r="D5" s="4">
        <f>D4*$B$6</f>
        <v>0</v>
      </c>
      <c r="E5" s="4">
        <f t="shared" ref="E5:AS5" si="1">E4*$B$6</f>
        <v>0</v>
      </c>
      <c r="F5" s="4">
        <f t="shared" si="1"/>
        <v>0</v>
      </c>
      <c r="G5" s="12">
        <f t="shared" si="1"/>
        <v>0</v>
      </c>
      <c r="H5" s="4">
        <f t="shared" si="1"/>
        <v>0</v>
      </c>
      <c r="I5" s="4">
        <f t="shared" si="1"/>
        <v>0</v>
      </c>
      <c r="J5" s="4">
        <f t="shared" si="1"/>
        <v>0</v>
      </c>
      <c r="K5" s="12">
        <f t="shared" si="1"/>
        <v>0</v>
      </c>
      <c r="L5" s="4">
        <f t="shared" si="1"/>
        <v>0</v>
      </c>
      <c r="M5" s="4">
        <f t="shared" si="1"/>
        <v>0</v>
      </c>
      <c r="N5" s="4">
        <f t="shared" si="1"/>
        <v>0</v>
      </c>
      <c r="O5" s="12">
        <f t="shared" si="1"/>
        <v>0</v>
      </c>
      <c r="P5" s="4">
        <f t="shared" si="1"/>
        <v>0</v>
      </c>
      <c r="Q5" s="4">
        <f t="shared" si="1"/>
        <v>0</v>
      </c>
      <c r="R5" s="4">
        <f t="shared" si="1"/>
        <v>0</v>
      </c>
      <c r="S5" s="12">
        <f t="shared" si="1"/>
        <v>0</v>
      </c>
      <c r="T5" s="4">
        <f t="shared" si="1"/>
        <v>0</v>
      </c>
      <c r="U5" s="4">
        <f t="shared" si="1"/>
        <v>0</v>
      </c>
      <c r="V5" s="4">
        <f t="shared" si="1"/>
        <v>0</v>
      </c>
      <c r="W5" s="12">
        <f t="shared" si="1"/>
        <v>0</v>
      </c>
      <c r="X5" s="4">
        <f t="shared" si="1"/>
        <v>0</v>
      </c>
      <c r="Y5" s="4">
        <f t="shared" si="1"/>
        <v>0</v>
      </c>
      <c r="Z5" s="4">
        <f t="shared" si="1"/>
        <v>0</v>
      </c>
      <c r="AA5" s="12">
        <f t="shared" si="1"/>
        <v>0</v>
      </c>
      <c r="AB5" s="4">
        <f t="shared" si="1"/>
        <v>0</v>
      </c>
      <c r="AC5" s="4">
        <f t="shared" si="1"/>
        <v>0</v>
      </c>
      <c r="AD5" s="4">
        <f t="shared" si="1"/>
        <v>0</v>
      </c>
      <c r="AE5" s="12">
        <f t="shared" si="1"/>
        <v>0</v>
      </c>
      <c r="AF5" s="4">
        <f t="shared" si="1"/>
        <v>0</v>
      </c>
      <c r="AG5" s="4">
        <f t="shared" si="1"/>
        <v>0</v>
      </c>
      <c r="AH5" s="4">
        <f t="shared" si="1"/>
        <v>0</v>
      </c>
      <c r="AI5" s="12">
        <f t="shared" si="1"/>
        <v>0</v>
      </c>
      <c r="AJ5" s="4">
        <f t="shared" si="1"/>
        <v>0</v>
      </c>
      <c r="AK5" s="4">
        <f t="shared" si="1"/>
        <v>0</v>
      </c>
      <c r="AL5" s="4">
        <f t="shared" si="1"/>
        <v>0</v>
      </c>
      <c r="AM5" s="12">
        <f t="shared" si="1"/>
        <v>0</v>
      </c>
      <c r="AN5" s="4">
        <f t="shared" si="1"/>
        <v>0</v>
      </c>
      <c r="AO5" s="4">
        <f t="shared" si="1"/>
        <v>0</v>
      </c>
      <c r="AP5" s="4">
        <f t="shared" si="1"/>
        <v>0</v>
      </c>
      <c r="AQ5" s="12">
        <f t="shared" si="1"/>
        <v>0</v>
      </c>
      <c r="AR5" s="4">
        <f t="shared" si="1"/>
        <v>0</v>
      </c>
      <c r="AS5" s="4">
        <f t="shared" si="1"/>
        <v>0</v>
      </c>
    </row>
    <row r="6" spans="1:45" x14ac:dyDescent="0.2">
      <c r="A6" s="1" t="s">
        <v>5</v>
      </c>
      <c r="B6" s="15">
        <v>0.25</v>
      </c>
      <c r="C6" s="17" t="s">
        <v>8</v>
      </c>
      <c r="D6" s="19" t="s">
        <v>6</v>
      </c>
      <c r="E6" s="19"/>
      <c r="F6" s="19"/>
      <c r="G6" s="19"/>
      <c r="H6" s="22">
        <f>SUM(B2:AS2)*7</f>
        <v>6578.0749999999998</v>
      </c>
      <c r="I6" s="22"/>
      <c r="J6" s="25" t="s">
        <v>4</v>
      </c>
      <c r="K6" s="25"/>
      <c r="L6" s="25"/>
      <c r="M6" s="25"/>
      <c r="N6" s="20">
        <f>SUM(B3:AS3)*7</f>
        <v>308</v>
      </c>
      <c r="O6" s="20"/>
      <c r="P6" s="23" t="s">
        <v>9</v>
      </c>
      <c r="Q6" s="23"/>
      <c r="R6" s="23"/>
      <c r="S6" s="23"/>
      <c r="T6" s="23">
        <f>SUM(B5:AS5)</f>
        <v>0</v>
      </c>
      <c r="U6" s="23"/>
      <c r="V6" s="16"/>
      <c r="W6" s="13"/>
      <c r="AA6" s="14"/>
      <c r="AB6" s="5"/>
      <c r="AC6" s="5"/>
      <c r="AD6" s="5"/>
      <c r="AE6" s="14"/>
      <c r="AF6" s="5"/>
      <c r="AG6" s="5"/>
      <c r="AH6" s="5"/>
      <c r="AI6" s="14"/>
      <c r="AJ6" s="5"/>
      <c r="AK6" s="5"/>
      <c r="AL6" s="5"/>
      <c r="AM6" s="14"/>
      <c r="AN6" s="5"/>
      <c r="AO6" s="5"/>
      <c r="AP6" s="5"/>
      <c r="AQ6" s="14"/>
      <c r="AR6" s="5"/>
      <c r="AS6" s="5"/>
    </row>
  </sheetData>
  <mergeCells count="6">
    <mergeCell ref="T6:U6"/>
    <mergeCell ref="D6:G6"/>
    <mergeCell ref="H6:I6"/>
    <mergeCell ref="J6:M6"/>
    <mergeCell ref="N6:O6"/>
    <mergeCell ref="P6:S6"/>
  </mergeCells>
  <pageMargins left="0.75" right="0.75" top="1" bottom="1" header="0.5" footer="0.5"/>
  <pageSetup paperSize="9" orientation="landscape" r:id="rId1"/>
  <headerFooter alignWithMargins="0">
    <oddHeader>&amp;A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S6"/>
  <sheetViews>
    <sheetView zoomScale="90" workbookViewId="0">
      <selection activeCell="AC22" sqref="AC22"/>
    </sheetView>
  </sheetViews>
  <sheetFormatPr defaultRowHeight="12.75" x14ac:dyDescent="0.2"/>
  <cols>
    <col min="1" max="1" width="17" customWidth="1"/>
    <col min="2" max="2" width="5.7109375" customWidth="1"/>
    <col min="3" max="3" width="5.7109375" style="11" customWidth="1"/>
    <col min="4" max="6" width="5.7109375" customWidth="1"/>
    <col min="7" max="7" width="5.7109375" style="11" customWidth="1"/>
    <col min="8" max="10" width="5.7109375" customWidth="1"/>
    <col min="11" max="11" width="5.7109375" style="11" customWidth="1"/>
    <col min="12" max="14" width="5.7109375" customWidth="1"/>
    <col min="15" max="15" width="5.7109375" style="11" customWidth="1"/>
    <col min="16" max="18" width="5.7109375" customWidth="1"/>
    <col min="19" max="19" width="5.7109375" style="11" customWidth="1"/>
    <col min="20" max="22" width="5.7109375" customWidth="1"/>
    <col min="23" max="23" width="5.7109375" style="11" customWidth="1"/>
    <col min="24" max="26" width="5.7109375" customWidth="1"/>
    <col min="27" max="27" width="5.7109375" style="11" customWidth="1"/>
    <col min="28" max="30" width="5.7109375" customWidth="1"/>
    <col min="31" max="31" width="5.7109375" style="11" customWidth="1"/>
    <col min="32" max="34" width="5.7109375" customWidth="1"/>
    <col min="35" max="35" width="5.7109375" style="11" customWidth="1"/>
    <col min="36" max="38" width="5.7109375" customWidth="1"/>
    <col min="39" max="39" width="5.7109375" style="11" customWidth="1"/>
    <col min="40" max="42" width="5.7109375" customWidth="1"/>
    <col min="43" max="43" width="5.7109375" style="11" customWidth="1"/>
    <col min="44" max="45" width="5.7109375" customWidth="1"/>
  </cols>
  <sheetData>
    <row r="1" spans="1:45" x14ac:dyDescent="0.2">
      <c r="A1" s="1" t="s">
        <v>0</v>
      </c>
      <c r="B1" s="1">
        <v>1</v>
      </c>
      <c r="C1" s="8">
        <v>2</v>
      </c>
      <c r="D1" s="1">
        <v>3</v>
      </c>
      <c r="E1" s="1">
        <v>4</v>
      </c>
      <c r="F1" s="1">
        <v>5</v>
      </c>
      <c r="G1" s="8">
        <v>6</v>
      </c>
      <c r="H1" s="1">
        <v>7</v>
      </c>
      <c r="I1" s="1">
        <v>8</v>
      </c>
      <c r="J1" s="1">
        <v>9</v>
      </c>
      <c r="K1" s="8">
        <v>10</v>
      </c>
      <c r="L1" s="1">
        <v>11</v>
      </c>
      <c r="M1" s="1">
        <v>12</v>
      </c>
      <c r="N1" s="1">
        <v>13</v>
      </c>
      <c r="O1" s="8">
        <v>14</v>
      </c>
      <c r="P1" s="1">
        <v>15</v>
      </c>
      <c r="Q1" s="1">
        <v>16</v>
      </c>
      <c r="R1" s="1">
        <v>17</v>
      </c>
      <c r="S1" s="8">
        <v>18</v>
      </c>
      <c r="T1" s="1">
        <v>19</v>
      </c>
      <c r="U1" s="1">
        <v>20</v>
      </c>
      <c r="V1" s="1">
        <v>21</v>
      </c>
      <c r="W1" s="8">
        <v>22</v>
      </c>
      <c r="X1" s="1">
        <v>23</v>
      </c>
      <c r="Y1" s="1">
        <v>24</v>
      </c>
      <c r="Z1" s="1">
        <v>25</v>
      </c>
      <c r="AA1" s="8">
        <v>26</v>
      </c>
      <c r="AB1" s="1">
        <v>27</v>
      </c>
      <c r="AC1" s="1">
        <v>28</v>
      </c>
      <c r="AD1" s="1">
        <v>29</v>
      </c>
      <c r="AE1" s="8">
        <v>30</v>
      </c>
      <c r="AF1" s="1">
        <v>31</v>
      </c>
      <c r="AG1" s="1">
        <v>32</v>
      </c>
      <c r="AH1" s="1">
        <v>33</v>
      </c>
      <c r="AI1" s="8">
        <v>34</v>
      </c>
      <c r="AJ1" s="1">
        <v>35</v>
      </c>
      <c r="AK1" s="1">
        <v>36</v>
      </c>
      <c r="AL1" s="1">
        <v>37</v>
      </c>
      <c r="AM1" s="8">
        <v>38</v>
      </c>
      <c r="AN1" s="1">
        <v>39</v>
      </c>
      <c r="AO1" s="1">
        <v>40</v>
      </c>
      <c r="AP1" s="1">
        <v>41</v>
      </c>
      <c r="AQ1" s="8">
        <v>42</v>
      </c>
      <c r="AR1" s="1">
        <v>43</v>
      </c>
      <c r="AS1" s="1">
        <v>44</v>
      </c>
    </row>
    <row r="2" spans="1:45" x14ac:dyDescent="0.2">
      <c r="A2" s="1" t="s">
        <v>3</v>
      </c>
      <c r="B2" s="6">
        <f>B3</f>
        <v>19</v>
      </c>
      <c r="C2" s="9">
        <f>C3</f>
        <v>25</v>
      </c>
      <c r="D2" s="4">
        <f>$C$2/0.892857142857143</f>
        <v>27.999999999999996</v>
      </c>
      <c r="E2" s="4">
        <f>$C$2/0.806451612903226</f>
        <v>30.999999999999993</v>
      </c>
      <c r="F2" s="4">
        <f>$C$2/0.78125</f>
        <v>32</v>
      </c>
      <c r="G2" s="12">
        <f>$C$2/0.769230769230769</f>
        <v>32.500000000000007</v>
      </c>
      <c r="H2" s="4">
        <f>$C$2/0.778816199376947</f>
        <v>32.1</v>
      </c>
      <c r="I2" s="4">
        <f>$C$2/0.798722044728434</f>
        <v>31.300000000000018</v>
      </c>
      <c r="J2" s="4">
        <f>$C$2/0.814332247557003</f>
        <v>30.70000000000001</v>
      </c>
      <c r="K2" s="12">
        <f>$C$2/0.833333333333333</f>
        <v>30.000000000000011</v>
      </c>
      <c r="L2" s="4">
        <f>$C$2/0.851063829787234</f>
        <v>29.375</v>
      </c>
      <c r="M2" s="4">
        <f>$C$2/0.869565217391304</f>
        <v>28.750000000000011</v>
      </c>
      <c r="N2" s="4">
        <f>$C$2/0.888888888888889</f>
        <v>28.124999999999996</v>
      </c>
      <c r="O2" s="12">
        <f>$C$2/0.909090909090909</f>
        <v>27.500000000000004</v>
      </c>
      <c r="P2" s="4">
        <f>$C$2/0.930232558139535</f>
        <v>26.874999999999996</v>
      </c>
      <c r="Q2" s="4">
        <f>$C$2/0.952380952380952</f>
        <v>26.250000000000011</v>
      </c>
      <c r="R2" s="4">
        <f>$C$2/0.975609756097561</f>
        <v>25.625</v>
      </c>
      <c r="S2" s="12">
        <f>$C$2/1</f>
        <v>25</v>
      </c>
      <c r="T2" s="4">
        <f>$C$2/1.02564102564103</f>
        <v>24.374999999999897</v>
      </c>
      <c r="U2" s="4">
        <f>$C$2/1.05263157894737</f>
        <v>23.749999999999968</v>
      </c>
      <c r="V2" s="4">
        <f>$C$2/1.08108108108108</f>
        <v>23.125000000000021</v>
      </c>
      <c r="W2" s="12">
        <f>$C$2/1.11111111111111</f>
        <v>22.500000000000021</v>
      </c>
      <c r="X2" s="4">
        <f>$C$2/1.14285714285714</f>
        <v>21.875000000000057</v>
      </c>
      <c r="Y2" s="4">
        <f>$C$2/1.17647058823529</f>
        <v>21.250000000000075</v>
      </c>
      <c r="Z2" s="4">
        <f>$C$2/1.21212121212121</f>
        <v>20.625000000000036</v>
      </c>
      <c r="AA2" s="12">
        <f>$C$2/1.25</f>
        <v>20</v>
      </c>
      <c r="AB2" s="4">
        <f>$C$2/1.29032258064516</f>
        <v>19.375000000000021</v>
      </c>
      <c r="AC2" s="4">
        <f>$C$2/1.33333333333333</f>
        <v>18.750000000000046</v>
      </c>
      <c r="AD2" s="4">
        <f>$C$2/1.37931034482759</f>
        <v>18.12499999999995</v>
      </c>
      <c r="AE2" s="12">
        <f>$C$2/1.42857142857143</f>
        <v>17.499999999999982</v>
      </c>
      <c r="AF2" s="4">
        <f>$C$2/1.48148148148148</f>
        <v>16.875000000000018</v>
      </c>
      <c r="AG2" s="4">
        <f>$C$2/1.53846153846154</f>
        <v>16.249999999999982</v>
      </c>
      <c r="AH2" s="4">
        <f>$C$2/1.6</f>
        <v>15.625</v>
      </c>
      <c r="AI2" s="12">
        <f>$C$2/1.66666666666667</f>
        <v>14.99999999999997</v>
      </c>
      <c r="AJ2" s="4">
        <f>$C$2/1.73913043478261</f>
        <v>14.374999999999989</v>
      </c>
      <c r="AK2" s="4">
        <f>$C$2/1.81818181818182</f>
        <v>13.749999999999988</v>
      </c>
      <c r="AL2" s="4">
        <f>$C$2/1.9047619047619</f>
        <v>13.125000000000032</v>
      </c>
      <c r="AM2" s="12">
        <f>$C$2/2</f>
        <v>12.5</v>
      </c>
      <c r="AN2" s="4">
        <f>$C$2/2.10526315789474</f>
        <v>11.874999999999984</v>
      </c>
      <c r="AO2" s="4">
        <f>$C$2/2.22222222222222</f>
        <v>11.250000000000011</v>
      </c>
      <c r="AP2" s="4">
        <f>$C$2/2.35294117647059</f>
        <v>10.624999999999991</v>
      </c>
      <c r="AQ2" s="12">
        <f>$C$2/2.5</f>
        <v>10</v>
      </c>
      <c r="AR2" s="4">
        <f>$C$2/2.66666666666667</f>
        <v>9.3749999999999876</v>
      </c>
      <c r="AS2" s="4">
        <f>$C$2/2.85714285714286</f>
        <v>8.7499999999999911</v>
      </c>
    </row>
    <row r="3" spans="1:45" x14ac:dyDescent="0.2">
      <c r="A3" s="1" t="s">
        <v>2</v>
      </c>
      <c r="B3" s="2">
        <v>19</v>
      </c>
      <c r="C3" s="10">
        <v>25</v>
      </c>
      <c r="D3" s="2"/>
      <c r="E3" s="2"/>
      <c r="F3" s="2"/>
      <c r="G3" s="10"/>
      <c r="H3" s="2"/>
      <c r="I3" s="2"/>
      <c r="J3" s="2"/>
      <c r="K3" s="10"/>
      <c r="L3" s="2"/>
      <c r="M3" s="2"/>
      <c r="N3" s="2"/>
      <c r="O3" s="10"/>
      <c r="P3" s="2"/>
      <c r="Q3" s="2"/>
      <c r="R3" s="2"/>
      <c r="S3" s="10"/>
      <c r="T3" s="2"/>
      <c r="U3" s="2"/>
      <c r="V3" s="2"/>
      <c r="W3" s="10"/>
      <c r="X3" s="2"/>
      <c r="Y3" s="2"/>
      <c r="Z3" s="2"/>
      <c r="AA3" s="10"/>
      <c r="AB3" s="2"/>
      <c r="AC3" s="2"/>
      <c r="AD3" s="2"/>
      <c r="AE3" s="10"/>
      <c r="AF3" s="2"/>
      <c r="AG3" s="2"/>
      <c r="AH3" s="2"/>
      <c r="AI3" s="10"/>
      <c r="AJ3" s="2"/>
      <c r="AK3" s="2"/>
      <c r="AL3" s="2"/>
      <c r="AM3" s="10"/>
      <c r="AN3" s="2"/>
      <c r="AO3" s="2"/>
      <c r="AP3" s="2"/>
      <c r="AQ3" s="10"/>
      <c r="AR3" s="2"/>
      <c r="AS3" s="2"/>
    </row>
    <row r="4" spans="1:45" x14ac:dyDescent="0.2">
      <c r="A4" s="1" t="s">
        <v>1</v>
      </c>
      <c r="B4" s="1">
        <v>0</v>
      </c>
      <c r="C4" s="8">
        <v>0</v>
      </c>
      <c r="D4" s="4">
        <f>IF(D3=0,0,(D2-D3)*7)</f>
        <v>0</v>
      </c>
      <c r="E4" s="4">
        <f t="shared" ref="E4:AS4" si="0">IF(E3=0,0,(E2-E3)*7)</f>
        <v>0</v>
      </c>
      <c r="F4" s="4">
        <f t="shared" si="0"/>
        <v>0</v>
      </c>
      <c r="G4" s="12">
        <f t="shared" si="0"/>
        <v>0</v>
      </c>
      <c r="H4" s="4">
        <f t="shared" si="0"/>
        <v>0</v>
      </c>
      <c r="I4" s="4">
        <f t="shared" si="0"/>
        <v>0</v>
      </c>
      <c r="J4" s="4">
        <f t="shared" si="0"/>
        <v>0</v>
      </c>
      <c r="K4" s="12">
        <f t="shared" si="0"/>
        <v>0</v>
      </c>
      <c r="L4" s="4">
        <f t="shared" si="0"/>
        <v>0</v>
      </c>
      <c r="M4" s="4">
        <f t="shared" si="0"/>
        <v>0</v>
      </c>
      <c r="N4" s="4">
        <f t="shared" si="0"/>
        <v>0</v>
      </c>
      <c r="O4" s="12">
        <f t="shared" si="0"/>
        <v>0</v>
      </c>
      <c r="P4" s="4">
        <f t="shared" si="0"/>
        <v>0</v>
      </c>
      <c r="Q4" s="4">
        <f t="shared" si="0"/>
        <v>0</v>
      </c>
      <c r="R4" s="4">
        <f t="shared" si="0"/>
        <v>0</v>
      </c>
      <c r="S4" s="12">
        <f t="shared" si="0"/>
        <v>0</v>
      </c>
      <c r="T4" s="4">
        <f t="shared" si="0"/>
        <v>0</v>
      </c>
      <c r="U4" s="4">
        <f t="shared" si="0"/>
        <v>0</v>
      </c>
      <c r="V4" s="4">
        <f t="shared" si="0"/>
        <v>0</v>
      </c>
      <c r="W4" s="12">
        <f t="shared" si="0"/>
        <v>0</v>
      </c>
      <c r="X4" s="4">
        <f t="shared" si="0"/>
        <v>0</v>
      </c>
      <c r="Y4" s="4">
        <f t="shared" si="0"/>
        <v>0</v>
      </c>
      <c r="Z4" s="4">
        <f t="shared" si="0"/>
        <v>0</v>
      </c>
      <c r="AA4" s="12">
        <f t="shared" si="0"/>
        <v>0</v>
      </c>
      <c r="AB4" s="4">
        <f t="shared" si="0"/>
        <v>0</v>
      </c>
      <c r="AC4" s="4">
        <f t="shared" si="0"/>
        <v>0</v>
      </c>
      <c r="AD4" s="4">
        <f t="shared" si="0"/>
        <v>0</v>
      </c>
      <c r="AE4" s="12">
        <f t="shared" si="0"/>
        <v>0</v>
      </c>
      <c r="AF4" s="4">
        <f t="shared" si="0"/>
        <v>0</v>
      </c>
      <c r="AG4" s="4">
        <f t="shared" si="0"/>
        <v>0</v>
      </c>
      <c r="AH4" s="4">
        <f t="shared" si="0"/>
        <v>0</v>
      </c>
      <c r="AI4" s="12">
        <f t="shared" si="0"/>
        <v>0</v>
      </c>
      <c r="AJ4" s="4">
        <f t="shared" si="0"/>
        <v>0</v>
      </c>
      <c r="AK4" s="4">
        <f t="shared" si="0"/>
        <v>0</v>
      </c>
      <c r="AL4" s="4">
        <f t="shared" si="0"/>
        <v>0</v>
      </c>
      <c r="AM4" s="12">
        <f t="shared" si="0"/>
        <v>0</v>
      </c>
      <c r="AN4" s="4">
        <f t="shared" si="0"/>
        <v>0</v>
      </c>
      <c r="AO4" s="4">
        <f t="shared" si="0"/>
        <v>0</v>
      </c>
      <c r="AP4" s="4">
        <f t="shared" si="0"/>
        <v>0</v>
      </c>
      <c r="AQ4" s="12">
        <f t="shared" si="0"/>
        <v>0</v>
      </c>
      <c r="AR4" s="4">
        <f t="shared" si="0"/>
        <v>0</v>
      </c>
      <c r="AS4" s="4">
        <f t="shared" si="0"/>
        <v>0</v>
      </c>
    </row>
    <row r="5" spans="1:45" x14ac:dyDescent="0.2">
      <c r="A5" s="18" t="s">
        <v>10</v>
      </c>
      <c r="B5" s="1">
        <v>0</v>
      </c>
      <c r="C5" s="8">
        <v>0</v>
      </c>
      <c r="D5" s="4">
        <f>D4*$B$6</f>
        <v>0</v>
      </c>
      <c r="E5" s="4">
        <f t="shared" ref="E5:AS5" si="1">E4*$B$6</f>
        <v>0</v>
      </c>
      <c r="F5" s="4">
        <f t="shared" si="1"/>
        <v>0</v>
      </c>
      <c r="G5" s="12">
        <f t="shared" si="1"/>
        <v>0</v>
      </c>
      <c r="H5" s="4">
        <f t="shared" si="1"/>
        <v>0</v>
      </c>
      <c r="I5" s="4">
        <f t="shared" si="1"/>
        <v>0</v>
      </c>
      <c r="J5" s="4">
        <f t="shared" si="1"/>
        <v>0</v>
      </c>
      <c r="K5" s="12">
        <f t="shared" si="1"/>
        <v>0</v>
      </c>
      <c r="L5" s="4">
        <f t="shared" si="1"/>
        <v>0</v>
      </c>
      <c r="M5" s="4">
        <f t="shared" si="1"/>
        <v>0</v>
      </c>
      <c r="N5" s="4">
        <f t="shared" si="1"/>
        <v>0</v>
      </c>
      <c r="O5" s="12">
        <f t="shared" si="1"/>
        <v>0</v>
      </c>
      <c r="P5" s="4">
        <f t="shared" si="1"/>
        <v>0</v>
      </c>
      <c r="Q5" s="4">
        <f t="shared" si="1"/>
        <v>0</v>
      </c>
      <c r="R5" s="4">
        <f t="shared" si="1"/>
        <v>0</v>
      </c>
      <c r="S5" s="12">
        <f t="shared" si="1"/>
        <v>0</v>
      </c>
      <c r="T5" s="4">
        <f t="shared" si="1"/>
        <v>0</v>
      </c>
      <c r="U5" s="4">
        <f t="shared" si="1"/>
        <v>0</v>
      </c>
      <c r="V5" s="4">
        <f t="shared" si="1"/>
        <v>0</v>
      </c>
      <c r="W5" s="12">
        <f t="shared" si="1"/>
        <v>0</v>
      </c>
      <c r="X5" s="4">
        <f t="shared" si="1"/>
        <v>0</v>
      </c>
      <c r="Y5" s="4">
        <f t="shared" si="1"/>
        <v>0</v>
      </c>
      <c r="Z5" s="4">
        <f t="shared" si="1"/>
        <v>0</v>
      </c>
      <c r="AA5" s="12">
        <f t="shared" si="1"/>
        <v>0</v>
      </c>
      <c r="AB5" s="4">
        <f t="shared" si="1"/>
        <v>0</v>
      </c>
      <c r="AC5" s="4">
        <f t="shared" si="1"/>
        <v>0</v>
      </c>
      <c r="AD5" s="4">
        <f t="shared" si="1"/>
        <v>0</v>
      </c>
      <c r="AE5" s="12">
        <f t="shared" si="1"/>
        <v>0</v>
      </c>
      <c r="AF5" s="4">
        <f t="shared" si="1"/>
        <v>0</v>
      </c>
      <c r="AG5" s="4">
        <f t="shared" si="1"/>
        <v>0</v>
      </c>
      <c r="AH5" s="4">
        <f t="shared" si="1"/>
        <v>0</v>
      </c>
      <c r="AI5" s="12">
        <f t="shared" si="1"/>
        <v>0</v>
      </c>
      <c r="AJ5" s="4">
        <f t="shared" si="1"/>
        <v>0</v>
      </c>
      <c r="AK5" s="4">
        <f t="shared" si="1"/>
        <v>0</v>
      </c>
      <c r="AL5" s="4">
        <f t="shared" si="1"/>
        <v>0</v>
      </c>
      <c r="AM5" s="12">
        <f t="shared" si="1"/>
        <v>0</v>
      </c>
      <c r="AN5" s="4">
        <f t="shared" si="1"/>
        <v>0</v>
      </c>
      <c r="AO5" s="4">
        <f t="shared" si="1"/>
        <v>0</v>
      </c>
      <c r="AP5" s="4">
        <f t="shared" si="1"/>
        <v>0</v>
      </c>
      <c r="AQ5" s="12">
        <f t="shared" si="1"/>
        <v>0</v>
      </c>
      <c r="AR5" s="4">
        <f t="shared" si="1"/>
        <v>0</v>
      </c>
      <c r="AS5" s="4">
        <f t="shared" si="1"/>
        <v>0</v>
      </c>
    </row>
    <row r="6" spans="1:45" x14ac:dyDescent="0.2">
      <c r="A6" s="1" t="s">
        <v>5</v>
      </c>
      <c r="B6" s="15">
        <v>0.25</v>
      </c>
      <c r="C6" s="17" t="s">
        <v>8</v>
      </c>
      <c r="D6" s="19" t="s">
        <v>6</v>
      </c>
      <c r="E6" s="19"/>
      <c r="F6" s="19"/>
      <c r="G6" s="19"/>
      <c r="H6" s="22">
        <f>SUM(B2:AS2)*7</f>
        <v>6578.0749999999998</v>
      </c>
      <c r="I6" s="22"/>
      <c r="J6" s="25" t="s">
        <v>4</v>
      </c>
      <c r="K6" s="25"/>
      <c r="L6" s="25"/>
      <c r="M6" s="25"/>
      <c r="N6" s="20">
        <f>SUM(B3:AS3)*7</f>
        <v>308</v>
      </c>
      <c r="O6" s="20"/>
      <c r="P6" s="23" t="s">
        <v>9</v>
      </c>
      <c r="Q6" s="23"/>
      <c r="R6" s="23"/>
      <c r="S6" s="23"/>
      <c r="T6" s="23">
        <f>SUM(B5:AS5)</f>
        <v>0</v>
      </c>
      <c r="U6" s="23"/>
      <c r="V6" s="16"/>
      <c r="W6" s="13"/>
      <c r="AA6" s="14"/>
      <c r="AB6" s="5"/>
      <c r="AC6" s="5"/>
      <c r="AD6" s="5"/>
      <c r="AE6" s="14"/>
      <c r="AF6" s="5"/>
      <c r="AG6" s="5"/>
      <c r="AH6" s="5"/>
      <c r="AI6" s="14"/>
      <c r="AJ6" s="5"/>
      <c r="AK6" s="5"/>
      <c r="AL6" s="5"/>
      <c r="AM6" s="14"/>
      <c r="AN6" s="5"/>
      <c r="AO6" s="5"/>
      <c r="AP6" s="5"/>
      <c r="AQ6" s="14"/>
      <c r="AR6" s="5"/>
      <c r="AS6" s="5"/>
    </row>
  </sheetData>
  <mergeCells count="6">
    <mergeCell ref="T6:U6"/>
    <mergeCell ref="D6:G6"/>
    <mergeCell ref="H6:I6"/>
    <mergeCell ref="J6:M6"/>
    <mergeCell ref="N6:O6"/>
    <mergeCell ref="P6:S6"/>
  </mergeCells>
  <pageMargins left="0.75" right="0.75" top="1" bottom="1" header="0.5" footer="0.5"/>
  <pageSetup paperSize="9" orientation="landscape" r:id="rId1"/>
  <headerFooter alignWithMargins="0">
    <oddHeader>&amp;A</oddHead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S6"/>
  <sheetViews>
    <sheetView tabSelected="1" zoomScale="90" workbookViewId="0">
      <selection activeCell="F4" sqref="F4"/>
    </sheetView>
  </sheetViews>
  <sheetFormatPr defaultRowHeight="12.75" x14ac:dyDescent="0.2"/>
  <cols>
    <col min="1" max="1" width="17" customWidth="1"/>
    <col min="2" max="2" width="5.7109375" customWidth="1"/>
    <col min="3" max="3" width="5.7109375" style="11" customWidth="1"/>
    <col min="4" max="6" width="5.7109375" customWidth="1"/>
    <col min="7" max="7" width="5.7109375" style="11" customWidth="1"/>
    <col min="8" max="10" width="5.7109375" customWidth="1"/>
    <col min="11" max="11" width="5.7109375" style="11" customWidth="1"/>
    <col min="12" max="14" width="5.7109375" customWidth="1"/>
    <col min="15" max="15" width="5.7109375" style="11" customWidth="1"/>
    <col min="16" max="18" width="5.7109375" customWidth="1"/>
    <col min="19" max="19" width="5.7109375" style="11" customWidth="1"/>
    <col min="20" max="22" width="5.7109375" customWidth="1"/>
    <col min="23" max="23" width="5.7109375" style="11" customWidth="1"/>
    <col min="24" max="26" width="5.7109375" customWidth="1"/>
    <col min="27" max="27" width="5.7109375" style="11" customWidth="1"/>
    <col min="28" max="30" width="5.7109375" customWidth="1"/>
    <col min="31" max="31" width="5.7109375" style="11" customWidth="1"/>
    <col min="32" max="34" width="5.7109375" customWidth="1"/>
    <col min="35" max="35" width="5.7109375" style="11" customWidth="1"/>
    <col min="36" max="38" width="5.7109375" customWidth="1"/>
    <col min="39" max="39" width="5.7109375" style="11" customWidth="1"/>
    <col min="40" max="42" width="5.7109375" customWidth="1"/>
    <col min="43" max="43" width="5.7109375" style="11" customWidth="1"/>
    <col min="44" max="45" width="5.7109375" customWidth="1"/>
  </cols>
  <sheetData>
    <row r="1" spans="1:45" x14ac:dyDescent="0.2">
      <c r="A1" s="1" t="s">
        <v>0</v>
      </c>
      <c r="B1" s="1">
        <v>1</v>
      </c>
      <c r="C1" s="8">
        <v>2</v>
      </c>
      <c r="D1" s="1">
        <v>3</v>
      </c>
      <c r="E1" s="1">
        <v>4</v>
      </c>
      <c r="F1" s="1">
        <v>5</v>
      </c>
      <c r="G1" s="8">
        <v>6</v>
      </c>
      <c r="H1" s="1">
        <v>7</v>
      </c>
      <c r="I1" s="1">
        <v>8</v>
      </c>
      <c r="J1" s="1">
        <v>9</v>
      </c>
      <c r="K1" s="8">
        <v>10</v>
      </c>
      <c r="L1" s="1">
        <v>11</v>
      </c>
      <c r="M1" s="1">
        <v>12</v>
      </c>
      <c r="N1" s="1">
        <v>13</v>
      </c>
      <c r="O1" s="8">
        <v>14</v>
      </c>
      <c r="P1" s="1">
        <v>15</v>
      </c>
      <c r="Q1" s="1">
        <v>16</v>
      </c>
      <c r="R1" s="1">
        <v>17</v>
      </c>
      <c r="S1" s="8">
        <v>18</v>
      </c>
      <c r="T1" s="1">
        <v>19</v>
      </c>
      <c r="U1" s="1">
        <v>20</v>
      </c>
      <c r="V1" s="1">
        <v>21</v>
      </c>
      <c r="W1" s="8">
        <v>22</v>
      </c>
      <c r="X1" s="1">
        <v>23</v>
      </c>
      <c r="Y1" s="1">
        <v>24</v>
      </c>
      <c r="Z1" s="1">
        <v>25</v>
      </c>
      <c r="AA1" s="8">
        <v>26</v>
      </c>
      <c r="AB1" s="1">
        <v>27</v>
      </c>
      <c r="AC1" s="1">
        <v>28</v>
      </c>
      <c r="AD1" s="1">
        <v>29</v>
      </c>
      <c r="AE1" s="8">
        <v>30</v>
      </c>
      <c r="AF1" s="1">
        <v>31</v>
      </c>
      <c r="AG1" s="1">
        <v>32</v>
      </c>
      <c r="AH1" s="1">
        <v>33</v>
      </c>
      <c r="AI1" s="8">
        <v>34</v>
      </c>
      <c r="AJ1" s="1">
        <v>35</v>
      </c>
      <c r="AK1" s="1">
        <v>36</v>
      </c>
      <c r="AL1" s="1">
        <v>37</v>
      </c>
      <c r="AM1" s="8">
        <v>38</v>
      </c>
      <c r="AN1" s="1">
        <v>39</v>
      </c>
      <c r="AO1" s="1">
        <v>40</v>
      </c>
      <c r="AP1" s="1">
        <v>41</v>
      </c>
      <c r="AQ1" s="8">
        <v>42</v>
      </c>
      <c r="AR1" s="1">
        <v>43</v>
      </c>
      <c r="AS1" s="1">
        <v>44</v>
      </c>
    </row>
    <row r="2" spans="1:45" x14ac:dyDescent="0.2">
      <c r="A2" s="1" t="s">
        <v>3</v>
      </c>
      <c r="B2" s="6">
        <f>B3</f>
        <v>19</v>
      </c>
      <c r="C2" s="9">
        <f>C3</f>
        <v>25</v>
      </c>
      <c r="D2" s="4">
        <f>$C$2/0.892857142857143</f>
        <v>27.999999999999996</v>
      </c>
      <c r="E2" s="4">
        <f>$C$2/0.806451612903226</f>
        <v>30.999999999999993</v>
      </c>
      <c r="F2" s="4">
        <f>$C$2/0.78125</f>
        <v>32</v>
      </c>
      <c r="G2" s="12">
        <f>$C$2/0.769230769230769</f>
        <v>32.500000000000007</v>
      </c>
      <c r="H2" s="4">
        <f>$C$2/0.778816199376947</f>
        <v>32.1</v>
      </c>
      <c r="I2" s="4">
        <f>$C$2/0.798722044728434</f>
        <v>31.300000000000018</v>
      </c>
      <c r="J2" s="4">
        <f>$C$2/0.814332247557003</f>
        <v>30.70000000000001</v>
      </c>
      <c r="K2" s="12">
        <f>$C$2/0.833333333333333</f>
        <v>30.000000000000011</v>
      </c>
      <c r="L2" s="4">
        <f>$C$2/0.851063829787234</f>
        <v>29.375</v>
      </c>
      <c r="M2" s="4">
        <f>$C$2/0.869565217391304</f>
        <v>28.750000000000011</v>
      </c>
      <c r="N2" s="4">
        <f>$C$2/0.888888888888889</f>
        <v>28.124999999999996</v>
      </c>
      <c r="O2" s="12">
        <f>$C$2/0.909090909090909</f>
        <v>27.500000000000004</v>
      </c>
      <c r="P2" s="4">
        <f>$C$2/0.930232558139535</f>
        <v>26.874999999999996</v>
      </c>
      <c r="Q2" s="4">
        <f>$C$2/0.952380952380952</f>
        <v>26.250000000000011</v>
      </c>
      <c r="R2" s="4">
        <f>$C$2/0.975609756097561</f>
        <v>25.625</v>
      </c>
      <c r="S2" s="12">
        <f>$C$2/1</f>
        <v>25</v>
      </c>
      <c r="T2" s="4">
        <f>$C$2/1.02564102564103</f>
        <v>24.374999999999897</v>
      </c>
      <c r="U2" s="4">
        <f>$C$2/1.05263157894737</f>
        <v>23.749999999999968</v>
      </c>
      <c r="V2" s="4">
        <f>$C$2/1.08108108108108</f>
        <v>23.125000000000021</v>
      </c>
      <c r="W2" s="12">
        <f>$C$2/1.11111111111111</f>
        <v>22.500000000000021</v>
      </c>
      <c r="X2" s="4">
        <f>$C$2/1.14285714285714</f>
        <v>21.875000000000057</v>
      </c>
      <c r="Y2" s="4">
        <f>$C$2/1.17647058823529</f>
        <v>21.250000000000075</v>
      </c>
      <c r="Z2" s="4">
        <f>$C$2/1.21212121212121</f>
        <v>20.625000000000036</v>
      </c>
      <c r="AA2" s="12">
        <f>$C$2/1.25</f>
        <v>20</v>
      </c>
      <c r="AB2" s="4">
        <f>$C$2/1.29032258064516</f>
        <v>19.375000000000021</v>
      </c>
      <c r="AC2" s="4">
        <f>$C$2/1.33333333333333</f>
        <v>18.750000000000046</v>
      </c>
      <c r="AD2" s="4">
        <f>$C$2/1.37931034482759</f>
        <v>18.12499999999995</v>
      </c>
      <c r="AE2" s="12">
        <f>$C$2/1.42857142857143</f>
        <v>17.499999999999982</v>
      </c>
      <c r="AF2" s="4">
        <f>$C$2/1.48148148148148</f>
        <v>16.875000000000018</v>
      </c>
      <c r="AG2" s="4">
        <f>$C$2/1.53846153846154</f>
        <v>16.249999999999982</v>
      </c>
      <c r="AH2" s="4">
        <f>$C$2/1.6</f>
        <v>15.625</v>
      </c>
      <c r="AI2" s="12">
        <f>$C$2/1.66666666666667</f>
        <v>14.99999999999997</v>
      </c>
      <c r="AJ2" s="4">
        <f>$C$2/1.73913043478261</f>
        <v>14.374999999999989</v>
      </c>
      <c r="AK2" s="4">
        <f>$C$2/1.81818181818182</f>
        <v>13.749999999999988</v>
      </c>
      <c r="AL2" s="4">
        <f>$C$2/1.9047619047619</f>
        <v>13.125000000000032</v>
      </c>
      <c r="AM2" s="12">
        <f>$C$2/2</f>
        <v>12.5</v>
      </c>
      <c r="AN2" s="4">
        <f>$C$2/2.10526315789474</f>
        <v>11.874999999999984</v>
      </c>
      <c r="AO2" s="4">
        <f>$C$2/2.22222222222222</f>
        <v>11.250000000000011</v>
      </c>
      <c r="AP2" s="4">
        <f>$C$2/2.35294117647059</f>
        <v>10.624999999999991</v>
      </c>
      <c r="AQ2" s="12">
        <f>$C$2/2.5</f>
        <v>10</v>
      </c>
      <c r="AR2" s="4">
        <f>$C$2/2.66666666666667</f>
        <v>9.3749999999999876</v>
      </c>
      <c r="AS2" s="4">
        <f>$C$2/2.85714285714286</f>
        <v>8.7499999999999911</v>
      </c>
    </row>
    <row r="3" spans="1:45" x14ac:dyDescent="0.2">
      <c r="A3" s="1" t="s">
        <v>2</v>
      </c>
      <c r="B3" s="2">
        <v>19</v>
      </c>
      <c r="C3" s="10">
        <v>25</v>
      </c>
      <c r="D3" s="2"/>
      <c r="E3" s="2"/>
      <c r="F3" s="2"/>
      <c r="G3" s="10"/>
      <c r="H3" s="2"/>
      <c r="I3" s="2"/>
      <c r="J3" s="2"/>
      <c r="K3" s="10"/>
      <c r="L3" s="2"/>
      <c r="M3" s="2"/>
      <c r="N3" s="2"/>
      <c r="O3" s="10"/>
      <c r="P3" s="2"/>
      <c r="Q3" s="2"/>
      <c r="R3" s="2"/>
      <c r="S3" s="10"/>
      <c r="T3" s="2"/>
      <c r="U3" s="2"/>
      <c r="V3" s="2"/>
      <c r="W3" s="10"/>
      <c r="X3" s="2"/>
      <c r="Y3" s="2"/>
      <c r="Z3" s="2"/>
      <c r="AA3" s="10"/>
      <c r="AB3" s="2"/>
      <c r="AC3" s="2"/>
      <c r="AD3" s="2"/>
      <c r="AE3" s="10"/>
      <c r="AF3" s="2"/>
      <c r="AG3" s="2"/>
      <c r="AH3" s="2"/>
      <c r="AI3" s="10"/>
      <c r="AJ3" s="2"/>
      <c r="AK3" s="2"/>
      <c r="AL3" s="2"/>
      <c r="AM3" s="10"/>
      <c r="AN3" s="2"/>
      <c r="AO3" s="2"/>
      <c r="AP3" s="2"/>
      <c r="AQ3" s="10"/>
      <c r="AR3" s="2"/>
      <c r="AS3" s="2"/>
    </row>
    <row r="4" spans="1:45" x14ac:dyDescent="0.2">
      <c r="A4" s="1" t="s">
        <v>1</v>
      </c>
      <c r="B4" s="1">
        <v>0</v>
      </c>
      <c r="C4" s="8">
        <v>0</v>
      </c>
      <c r="D4" s="4">
        <f>IF(D3=0,0,(D2-D3)*7)</f>
        <v>0</v>
      </c>
      <c r="E4" s="4">
        <f t="shared" ref="E4:AS4" si="0">IF(E3=0,0,(E2-E3)*7)</f>
        <v>0</v>
      </c>
      <c r="F4" s="4">
        <f t="shared" si="0"/>
        <v>0</v>
      </c>
      <c r="G4" s="12">
        <f t="shared" si="0"/>
        <v>0</v>
      </c>
      <c r="H4" s="4">
        <f t="shared" si="0"/>
        <v>0</v>
      </c>
      <c r="I4" s="4">
        <f t="shared" si="0"/>
        <v>0</v>
      </c>
      <c r="J4" s="4">
        <f t="shared" si="0"/>
        <v>0</v>
      </c>
      <c r="K4" s="12">
        <f t="shared" si="0"/>
        <v>0</v>
      </c>
      <c r="L4" s="4">
        <f t="shared" si="0"/>
        <v>0</v>
      </c>
      <c r="M4" s="4">
        <f t="shared" si="0"/>
        <v>0</v>
      </c>
      <c r="N4" s="4">
        <f t="shared" si="0"/>
        <v>0</v>
      </c>
      <c r="O4" s="12">
        <f t="shared" si="0"/>
        <v>0</v>
      </c>
      <c r="P4" s="4">
        <f t="shared" si="0"/>
        <v>0</v>
      </c>
      <c r="Q4" s="4">
        <f t="shared" si="0"/>
        <v>0</v>
      </c>
      <c r="R4" s="4">
        <f t="shared" si="0"/>
        <v>0</v>
      </c>
      <c r="S4" s="12">
        <f t="shared" si="0"/>
        <v>0</v>
      </c>
      <c r="T4" s="4">
        <f t="shared" si="0"/>
        <v>0</v>
      </c>
      <c r="U4" s="4">
        <f t="shared" si="0"/>
        <v>0</v>
      </c>
      <c r="V4" s="4">
        <f t="shared" si="0"/>
        <v>0</v>
      </c>
      <c r="W4" s="12">
        <f t="shared" si="0"/>
        <v>0</v>
      </c>
      <c r="X4" s="4">
        <f t="shared" si="0"/>
        <v>0</v>
      </c>
      <c r="Y4" s="4">
        <f t="shared" si="0"/>
        <v>0</v>
      </c>
      <c r="Z4" s="4">
        <f t="shared" si="0"/>
        <v>0</v>
      </c>
      <c r="AA4" s="12">
        <f t="shared" si="0"/>
        <v>0</v>
      </c>
      <c r="AB4" s="4">
        <f t="shared" si="0"/>
        <v>0</v>
      </c>
      <c r="AC4" s="4">
        <f t="shared" si="0"/>
        <v>0</v>
      </c>
      <c r="AD4" s="4">
        <f t="shared" si="0"/>
        <v>0</v>
      </c>
      <c r="AE4" s="12">
        <f t="shared" si="0"/>
        <v>0</v>
      </c>
      <c r="AF4" s="4">
        <f t="shared" si="0"/>
        <v>0</v>
      </c>
      <c r="AG4" s="4">
        <f t="shared" si="0"/>
        <v>0</v>
      </c>
      <c r="AH4" s="4">
        <f t="shared" si="0"/>
        <v>0</v>
      </c>
      <c r="AI4" s="12">
        <f t="shared" si="0"/>
        <v>0</v>
      </c>
      <c r="AJ4" s="4">
        <f t="shared" si="0"/>
        <v>0</v>
      </c>
      <c r="AK4" s="4">
        <f t="shared" si="0"/>
        <v>0</v>
      </c>
      <c r="AL4" s="4">
        <f t="shared" si="0"/>
        <v>0</v>
      </c>
      <c r="AM4" s="12">
        <f t="shared" si="0"/>
        <v>0</v>
      </c>
      <c r="AN4" s="4">
        <f t="shared" si="0"/>
        <v>0</v>
      </c>
      <c r="AO4" s="4">
        <f t="shared" si="0"/>
        <v>0</v>
      </c>
      <c r="AP4" s="4">
        <f t="shared" si="0"/>
        <v>0</v>
      </c>
      <c r="AQ4" s="12">
        <f t="shared" si="0"/>
        <v>0</v>
      </c>
      <c r="AR4" s="4">
        <f t="shared" si="0"/>
        <v>0</v>
      </c>
      <c r="AS4" s="4">
        <f t="shared" si="0"/>
        <v>0</v>
      </c>
    </row>
    <row r="5" spans="1:45" x14ac:dyDescent="0.2">
      <c r="A5" s="18" t="s">
        <v>10</v>
      </c>
      <c r="B5" s="1">
        <v>0</v>
      </c>
      <c r="C5" s="8">
        <v>0</v>
      </c>
      <c r="D5" s="4">
        <f>D4*$B$6</f>
        <v>0</v>
      </c>
      <c r="E5" s="4">
        <f t="shared" ref="E5:AS5" si="1">E4*$B$6</f>
        <v>0</v>
      </c>
      <c r="F5" s="4">
        <f t="shared" si="1"/>
        <v>0</v>
      </c>
      <c r="G5" s="12">
        <f t="shared" si="1"/>
        <v>0</v>
      </c>
      <c r="H5" s="4">
        <f t="shared" si="1"/>
        <v>0</v>
      </c>
      <c r="I5" s="4">
        <f t="shared" si="1"/>
        <v>0</v>
      </c>
      <c r="J5" s="4">
        <f t="shared" si="1"/>
        <v>0</v>
      </c>
      <c r="K5" s="12">
        <f t="shared" si="1"/>
        <v>0</v>
      </c>
      <c r="L5" s="4">
        <f t="shared" si="1"/>
        <v>0</v>
      </c>
      <c r="M5" s="4">
        <f t="shared" si="1"/>
        <v>0</v>
      </c>
      <c r="N5" s="4">
        <f t="shared" si="1"/>
        <v>0</v>
      </c>
      <c r="O5" s="12">
        <f t="shared" si="1"/>
        <v>0</v>
      </c>
      <c r="P5" s="4">
        <f t="shared" si="1"/>
        <v>0</v>
      </c>
      <c r="Q5" s="4">
        <f t="shared" si="1"/>
        <v>0</v>
      </c>
      <c r="R5" s="4">
        <f t="shared" si="1"/>
        <v>0</v>
      </c>
      <c r="S5" s="12">
        <f t="shared" si="1"/>
        <v>0</v>
      </c>
      <c r="T5" s="4">
        <f t="shared" si="1"/>
        <v>0</v>
      </c>
      <c r="U5" s="4">
        <f t="shared" si="1"/>
        <v>0</v>
      </c>
      <c r="V5" s="4">
        <f t="shared" si="1"/>
        <v>0</v>
      </c>
      <c r="W5" s="12">
        <f t="shared" si="1"/>
        <v>0</v>
      </c>
      <c r="X5" s="4">
        <f t="shared" si="1"/>
        <v>0</v>
      </c>
      <c r="Y5" s="4">
        <f t="shared" si="1"/>
        <v>0</v>
      </c>
      <c r="Z5" s="4">
        <f t="shared" si="1"/>
        <v>0</v>
      </c>
      <c r="AA5" s="12">
        <f t="shared" si="1"/>
        <v>0</v>
      </c>
      <c r="AB5" s="4">
        <f t="shared" si="1"/>
        <v>0</v>
      </c>
      <c r="AC5" s="4">
        <f t="shared" si="1"/>
        <v>0</v>
      </c>
      <c r="AD5" s="4">
        <f t="shared" si="1"/>
        <v>0</v>
      </c>
      <c r="AE5" s="12">
        <f t="shared" si="1"/>
        <v>0</v>
      </c>
      <c r="AF5" s="4">
        <f t="shared" si="1"/>
        <v>0</v>
      </c>
      <c r="AG5" s="4">
        <f t="shared" si="1"/>
        <v>0</v>
      </c>
      <c r="AH5" s="4">
        <f t="shared" si="1"/>
        <v>0</v>
      </c>
      <c r="AI5" s="12">
        <f t="shared" si="1"/>
        <v>0</v>
      </c>
      <c r="AJ5" s="4">
        <f t="shared" si="1"/>
        <v>0</v>
      </c>
      <c r="AK5" s="4">
        <f t="shared" si="1"/>
        <v>0</v>
      </c>
      <c r="AL5" s="4">
        <f t="shared" si="1"/>
        <v>0</v>
      </c>
      <c r="AM5" s="12">
        <f t="shared" si="1"/>
        <v>0</v>
      </c>
      <c r="AN5" s="4">
        <f t="shared" si="1"/>
        <v>0</v>
      </c>
      <c r="AO5" s="4">
        <f t="shared" si="1"/>
        <v>0</v>
      </c>
      <c r="AP5" s="4">
        <f t="shared" si="1"/>
        <v>0</v>
      </c>
      <c r="AQ5" s="12">
        <f t="shared" si="1"/>
        <v>0</v>
      </c>
      <c r="AR5" s="4">
        <f t="shared" si="1"/>
        <v>0</v>
      </c>
      <c r="AS5" s="4">
        <f t="shared" si="1"/>
        <v>0</v>
      </c>
    </row>
    <row r="6" spans="1:45" x14ac:dyDescent="0.2">
      <c r="A6" s="1" t="s">
        <v>5</v>
      </c>
      <c r="B6" s="15">
        <v>0.25</v>
      </c>
      <c r="C6" s="17" t="s">
        <v>8</v>
      </c>
      <c r="D6" s="19" t="s">
        <v>6</v>
      </c>
      <c r="E6" s="19"/>
      <c r="F6" s="19"/>
      <c r="G6" s="19"/>
      <c r="H6" s="22">
        <f>SUM(B2:AS2)*7</f>
        <v>6578.0749999999998</v>
      </c>
      <c r="I6" s="22"/>
      <c r="J6" s="25" t="s">
        <v>4</v>
      </c>
      <c r="K6" s="25"/>
      <c r="L6" s="25"/>
      <c r="M6" s="25"/>
      <c r="N6" s="20">
        <f>SUM(B3:AS3)*7</f>
        <v>308</v>
      </c>
      <c r="O6" s="20"/>
      <c r="P6" s="23" t="s">
        <v>9</v>
      </c>
      <c r="Q6" s="23"/>
      <c r="R6" s="23"/>
      <c r="S6" s="23"/>
      <c r="T6" s="23">
        <f>SUM(B5:AS5)</f>
        <v>0</v>
      </c>
      <c r="U6" s="23"/>
      <c r="V6" s="16"/>
      <c r="W6" s="13"/>
      <c r="AA6" s="14"/>
      <c r="AB6" s="5"/>
      <c r="AC6" s="5"/>
      <c r="AD6" s="5"/>
      <c r="AE6" s="14"/>
      <c r="AF6" s="5"/>
      <c r="AG6" s="5"/>
      <c r="AH6" s="5"/>
      <c r="AI6" s="14"/>
      <c r="AJ6" s="5"/>
      <c r="AK6" s="5"/>
      <c r="AL6" s="5"/>
      <c r="AM6" s="14"/>
      <c r="AN6" s="5"/>
      <c r="AO6" s="5"/>
      <c r="AP6" s="5"/>
      <c r="AQ6" s="14"/>
      <c r="AR6" s="5"/>
      <c r="AS6" s="5"/>
    </row>
  </sheetData>
  <sheetProtection sheet="1" objects="1" scenarios="1"/>
  <mergeCells count="6">
    <mergeCell ref="T6:U6"/>
    <mergeCell ref="D6:G6"/>
    <mergeCell ref="H6:I6"/>
    <mergeCell ref="J6:M6"/>
    <mergeCell ref="N6:O6"/>
    <mergeCell ref="P6:S6"/>
  </mergeCells>
  <pageMargins left="0.75" right="0.75" top="1" bottom="1" header="0.5" footer="0.5"/>
  <pageSetup paperSize="9" orientation="landscape" r:id="rId1"/>
  <headerFooter alignWithMargins="0">
    <oddHeader>&amp;A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Pirmpienes</vt:lpstr>
      <vt:lpstr>Pirmpienes (2)</vt:lpstr>
      <vt:lpstr>Pirmpienes (3)</vt:lpstr>
      <vt:lpstr>Slauc govis</vt:lpstr>
      <vt:lpstr>Slauc govis (2)</vt:lpstr>
      <vt:lpstr>Slauc govis (3)</vt:lpstr>
      <vt:lpstr>Slauc govis (4)</vt:lpstr>
    </vt:vector>
  </TitlesOfParts>
  <Company>LLKC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Ilmars</dc:creator>
  <cp:lastModifiedBy>Silvija Dreijere</cp:lastModifiedBy>
  <cp:lastPrinted>2003-08-13T16:53:23Z</cp:lastPrinted>
  <dcterms:created xsi:type="dcterms:W3CDTF">2002-05-06T13:52:34Z</dcterms:created>
  <dcterms:modified xsi:type="dcterms:W3CDTF">2021-05-05T09:35:39Z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4d9cd771-b6bc-4319-a952-37f618d9c102</vt:lpwstr>
  </property>
</Properties>
</file>