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ristaps\Desktop\"/>
    </mc:Choice>
  </mc:AlternateContent>
  <bookViews>
    <workbookView xWindow="0" yWindow="60" windowWidth="9996" windowHeight="5940" activeTab="2"/>
  </bookViews>
  <sheets>
    <sheet name="Spāru aprēķins" sheetId="2" r:id="rId1"/>
    <sheet name="sparem_matematika" sheetId="1" state="hidden" r:id="rId2"/>
    <sheet name="Pārseguma siju aprēķins" sheetId="4" r:id="rId3"/>
    <sheet name="sijam_matematika" sheetId="3" state="hidden" r:id="rId4"/>
    <sheet name="Dati" sheetId="5" state="hidden" r:id="rId5"/>
  </sheets>
  <definedNames>
    <definedName name="_kc90">sparem_matematika!$D$125</definedName>
    <definedName name="_psi2">sparem_matematika!$D$141</definedName>
    <definedName name="a">sparem_matematika!$D$7</definedName>
    <definedName name="aef">sparem_matematika!$D$114</definedName>
    <definedName name="al">sparem_matematika!$D$9</definedName>
    <definedName name="alg">sparem_matematika!$D$8</definedName>
    <definedName name="As">sparem_matematika!$D$94</definedName>
    <definedName name="b">sparem_matematika!$D$88</definedName>
    <definedName name="cc">sparem_matematika!$D$116</definedName>
    <definedName name="ck">sparem_matematika!$D$5</definedName>
    <definedName name="co">sparem_matematika!$D$6</definedName>
    <definedName name="E_05">sparem_matematika!$D$84</definedName>
    <definedName name="Emean">sparem_matematika!$D$83</definedName>
    <definedName name="fc0d">sparem_matematika!$D$81</definedName>
    <definedName name="fc0k">sparem_matematika!$D$71</definedName>
    <definedName name="fc90d">sparem_matematika!$D$82</definedName>
    <definedName name="fc90k">sparem_matematika!$D$72</definedName>
    <definedName name="fmds">sparem_matematika!$D$77</definedName>
    <definedName name="fmdw">sparem_matematika!$D$78</definedName>
    <definedName name="fmk">sparem_matematika!$D$69</definedName>
    <definedName name="fvds">sparem_matematika!$D$79</definedName>
    <definedName name="fvdw">sparem_matematika!$D$80</definedName>
    <definedName name="fvk">sparem_matematika!$D$70</definedName>
    <definedName name="gd">sparem_matematika!$D$28</definedName>
    <definedName name="gd_90">sparem_matematika!$D$29</definedName>
    <definedName name="gd0">sparem_matematika!$D$31</definedName>
    <definedName name="gfg">sparem_matematika!$D$17</definedName>
    <definedName name="gfmin">sparem_matematika!$D$18</definedName>
    <definedName name="gfs">sparem_matematika!$D$27</definedName>
    <definedName name="gjk">sparem_matematika!$D$12</definedName>
    <definedName name="gk">sparem_matematika!$D$15</definedName>
    <definedName name="gk_90">sparem_matematika!$D$16</definedName>
    <definedName name="gko">sparem_matematika!$D$11</definedName>
    <definedName name="gM">sparem_matematika!$D$76</definedName>
    <definedName name="gsk">sparem_matematika!$D$14</definedName>
    <definedName name="h">sparem_matematika!$D$93</definedName>
    <definedName name="hef">sparem_matematika!$D$89</definedName>
    <definedName name="i">sparem_matematika!$D$117</definedName>
    <definedName name="Jo">sparem_matematika!$D$91</definedName>
    <definedName name="Jy">sparem_matematika!$D$97</definedName>
    <definedName name="Jz">sparem_matematika!$D$98</definedName>
    <definedName name="kc90_fc90d">sparem_matematika!$D$126</definedName>
    <definedName name="kcy">sparem_matematika!$D$133</definedName>
    <definedName name="kdef">sparem_matematika!$D$85</definedName>
    <definedName name="kf">sparem_matematika!$D$137</definedName>
    <definedName name="kh">sparem_matematika!$D$75</definedName>
    <definedName name="kmods">sparem_matematika!$D$73</definedName>
    <definedName name="kmodw">sparem_matematika!$D$74</definedName>
    <definedName name="kn">sparem_matematika!$D$115</definedName>
    <definedName name="kv">sparem_matematika!$D$120</definedName>
    <definedName name="ky">sparem_matematika!$D$132</definedName>
    <definedName name="L">sparem_matematika!$D$4</definedName>
    <definedName name="lb">sparem_matematika!$D$122</definedName>
    <definedName name="lefy">sparem_matematika!$D$129</definedName>
    <definedName name="lmy">sparem_matematika!$D$130</definedName>
    <definedName name="Lo">sparem_matematika!$D$10</definedName>
    <definedName name="lrely">sparem_matematika!$D$131</definedName>
    <definedName name="Mdgc">sparem_matematika!$D$42</definedName>
    <definedName name="MdgL">sparem_matematika!$D$41</definedName>
    <definedName name="Mdgsc">sparem_matematika!$D$57</definedName>
    <definedName name="MdgsL">sparem_matematika!$D$56</definedName>
    <definedName name="Mdgswc">sparem_matematika!$D$62</definedName>
    <definedName name="MdgswL">sparem_matematika!$D$61</definedName>
    <definedName name="Mdgwc">sparem_matematika!$D$64</definedName>
    <definedName name="MdgwL">sparem_matematika!$D$63</definedName>
    <definedName name="Mdgwsc">sparem_matematika!$D$59</definedName>
    <definedName name="MdgwsL">sparem_matematika!$D$58</definedName>
    <definedName name="Mdsc">sparem_matematika!$D$44</definedName>
    <definedName name="MdsL">sparem_matematika!$D$43</definedName>
    <definedName name="Mdwc">sparem_matematika!$D$46</definedName>
    <definedName name="MdwL">sparem_matematika!$D$45</definedName>
    <definedName name="Mdwsc">sparem_matematika!$D$48</definedName>
    <definedName name="MdwsL">sparem_matematika!$D$47</definedName>
    <definedName name="mi">sparem_matematika!$D$20</definedName>
    <definedName name="Nd">sparem_matematika!$D$68</definedName>
    <definedName name="no">sparem_matematika!$D$145</definedName>
    <definedName name="psios">sparem_matematika!$D$37</definedName>
    <definedName name="psiow">sparem_matematika!$D$38</definedName>
    <definedName name="Qdg">sparem_matematika!$D$49</definedName>
    <definedName name="Qdgs">sparem_matematika!$D$65</definedName>
    <definedName name="Qdgsw">sparem_matematika!$D$67</definedName>
    <definedName name="Qdgws">sparem_matematika!$D$66</definedName>
    <definedName name="Qds">sparem_matematika!$D$50</definedName>
    <definedName name="Qdsw">sparem_matematika!$D$67</definedName>
    <definedName name="Qdw">sparem_matematika!$D$51</definedName>
    <definedName name="sc90d">sparem_matematika!$D$124</definedName>
    <definedName name="sd">sparem_matematika!$D$32</definedName>
    <definedName name="sd_90">sparem_matematika!$D$33</definedName>
    <definedName name="sd0">sparem_matematika!$D$34</definedName>
    <definedName name="sk">sparem_matematika!$D$21</definedName>
    <definedName name="sk_90">sparem_matematika!$D$22</definedName>
    <definedName name="smdef">sparem_matematika!$D$106</definedName>
    <definedName name="smdgsc">sparem_matematika!$D$102</definedName>
    <definedName name="smdgsL">sparem_matematika!$D$100</definedName>
    <definedName name="smdgsw">sparem_matematika!$D$104</definedName>
    <definedName name="so">sparem_matematika!$D$19</definedName>
    <definedName name="tds">sparem_matematika!$D$109</definedName>
    <definedName name="tdsw">sparem_matematika!$D$111</definedName>
    <definedName name="uadm">sparem_matematika!$D$146</definedName>
    <definedName name="ufin">sparem_matematika!$D$144</definedName>
    <definedName name="ufing">sparem_matematika!$D$139</definedName>
    <definedName name="ufinq">sparem_matematika!$D$142</definedName>
    <definedName name="uinstg">sparem_matematika!$D$138</definedName>
    <definedName name="uinstq">sparem_matematika!$D$140</definedName>
    <definedName name="Vc">sparem_matematika!$D$123</definedName>
    <definedName name="Vdgmin">sparem_matematika!$D$53</definedName>
    <definedName name="Vdws">sparem_matematika!$D$52</definedName>
    <definedName name="Vsp">sparem_matematika!$D$13</definedName>
    <definedName name="wd">sparem_matematika!$D$35</definedName>
    <definedName name="wds">sparem_matematika!$D$36</definedName>
    <definedName name="wk">sparem_matematika!$D$24</definedName>
    <definedName name="wka">sparem_matematika!$D$23</definedName>
    <definedName name="wks">sparem_matematika!$D$26</definedName>
    <definedName name="wkup">sparem_matematika!$D$25</definedName>
    <definedName name="Wy">sparem_matematika!$D$96</definedName>
    <definedName name="Wyef">sparem_matematika!$D$92</definedName>
    <definedName name="x">sparem_matematika!$D$118</definedName>
    <definedName name="xo">sparem_matematika!$D$39</definedName>
  </definedNames>
  <calcPr calcId="162913"/>
</workbook>
</file>

<file path=xl/calcChain.xml><?xml version="1.0" encoding="utf-8"?>
<calcChain xmlns="http://schemas.openxmlformats.org/spreadsheetml/2006/main">
  <c r="D9" i="4" l="1"/>
  <c r="E8" i="4" s="1"/>
  <c r="D7" i="4" l="1"/>
  <c r="E6" i="4" s="1"/>
  <c r="D6" i="3"/>
  <c r="H3" i="3"/>
  <c r="I3" i="3" s="1"/>
  <c r="D4" i="3" s="1"/>
  <c r="H2" i="3"/>
  <c r="I2" i="3" s="1"/>
  <c r="D5" i="3" s="1"/>
  <c r="E11" i="4" l="1"/>
  <c r="E10" i="4"/>
  <c r="E5" i="4"/>
  <c r="E4" i="4"/>
  <c r="E3" i="4"/>
  <c r="B15" i="3"/>
  <c r="D32" i="3"/>
  <c r="D113" i="3"/>
  <c r="D25" i="3" l="1"/>
  <c r="L6" i="3"/>
  <c r="L4" i="3"/>
  <c r="L3" i="3"/>
  <c r="D8" i="2"/>
  <c r="D8" i="3" l="1"/>
  <c r="D7" i="3"/>
  <c r="E7" i="2"/>
  <c r="E10" i="2"/>
  <c r="E9" i="2"/>
  <c r="E6" i="2"/>
  <c r="E5" i="2"/>
  <c r="E4" i="2"/>
  <c r="E3" i="2"/>
  <c r="D21" i="3" l="1"/>
  <c r="D93" i="1"/>
  <c r="D88" i="1"/>
  <c r="D11" i="1"/>
  <c r="D8" i="1"/>
  <c r="D7" i="1"/>
  <c r="D5" i="1"/>
  <c r="D4" i="1"/>
  <c r="C97" i="3" l="1"/>
  <c r="H83" i="3"/>
  <c r="D54" i="3"/>
  <c r="C45" i="3"/>
  <c r="C49" i="3" s="1"/>
  <c r="L33" i="3"/>
  <c r="O33" i="3" s="1"/>
  <c r="L32" i="3"/>
  <c r="O32" i="3" s="1"/>
  <c r="L31" i="3"/>
  <c r="O31" i="3" s="1"/>
  <c r="E15" i="3"/>
  <c r="C17" i="3" s="1"/>
  <c r="F17" i="3" s="1"/>
  <c r="F6" i="3"/>
  <c r="C66" i="3" s="1"/>
  <c r="I68" i="3" s="1"/>
  <c r="C71" i="3" s="1"/>
  <c r="H77" i="3" l="1"/>
  <c r="I74" i="3"/>
  <c r="C16" i="3"/>
  <c r="E94" i="3" s="1"/>
  <c r="D99" i="3" s="1"/>
  <c r="E102" i="3" l="1"/>
  <c r="D105" i="3" s="1"/>
  <c r="F16" i="3"/>
  <c r="D28" i="3"/>
  <c r="G28" i="3" s="1"/>
  <c r="D30" i="3" s="1"/>
  <c r="C38" i="3" s="1"/>
  <c r="C47" i="3"/>
  <c r="E47" i="3" s="1"/>
  <c r="C51" i="3" s="1"/>
  <c r="C59" i="3" s="1"/>
  <c r="G40" i="3" l="1"/>
  <c r="J3" i="4" s="1"/>
  <c r="L3" i="4" s="1"/>
  <c r="C83" i="3"/>
  <c r="D109" i="3"/>
  <c r="B113" i="3" s="1"/>
  <c r="B117" i="3" s="1"/>
  <c r="J4" i="4" s="1"/>
  <c r="L4" i="4" s="1"/>
  <c r="D89" i="1" l="1"/>
  <c r="D125" i="1"/>
  <c r="D9" i="1" l="1"/>
  <c r="D98" i="1"/>
  <c r="D113" i="1"/>
  <c r="D12" i="1"/>
  <c r="D23" i="1"/>
  <c r="D83" i="1"/>
  <c r="D137" i="1"/>
  <c r="D85" i="1"/>
  <c r="D141" i="1"/>
  <c r="D145" i="1"/>
  <c r="D17" i="1"/>
  <c r="D27" i="1"/>
  <c r="D37" i="1"/>
  <c r="D38" i="1"/>
  <c r="D25" i="1"/>
  <c r="D18" i="1"/>
  <c r="D69" i="1"/>
  <c r="D74" i="1"/>
  <c r="D71" i="1"/>
  <c r="D84" i="1"/>
  <c r="D73" i="1"/>
  <c r="D72" i="1"/>
  <c r="D115" i="1"/>
  <c r="D116" i="1"/>
  <c r="D70" i="1"/>
  <c r="D80" i="1" s="1"/>
  <c r="D86" i="1"/>
  <c r="D26" i="1" l="1"/>
  <c r="D36" i="1" s="1"/>
  <c r="D81" i="1"/>
  <c r="D24" i="1"/>
  <c r="D35" i="1" s="1"/>
  <c r="D91" i="1"/>
  <c r="D20" i="1"/>
  <c r="D21" i="1" s="1"/>
  <c r="D32" i="1" s="1"/>
  <c r="D146" i="1"/>
  <c r="D94" i="1"/>
  <c r="D118" i="1"/>
  <c r="D75" i="1"/>
  <c r="D77" i="1" s="1"/>
  <c r="D96" i="1"/>
  <c r="D97" i="1"/>
  <c r="D95" i="1"/>
  <c r="D10" i="1"/>
  <c r="D122" i="1"/>
  <c r="D6" i="1"/>
  <c r="D92" i="1"/>
  <c r="D114" i="1"/>
  <c r="D79" i="1"/>
  <c r="D117" i="1"/>
  <c r="D82" i="1"/>
  <c r="D126" i="1" l="1"/>
  <c r="D120" i="1"/>
  <c r="D78" i="1"/>
  <c r="D22" i="1"/>
  <c r="D140" i="1" s="1"/>
  <c r="D142" i="1" s="1"/>
  <c r="D47" i="1"/>
  <c r="D52" i="1"/>
  <c r="D13" i="1"/>
  <c r="D14" i="1" s="1"/>
  <c r="D15" i="1" s="1"/>
  <c r="D28" i="1" s="1"/>
  <c r="D51" i="1"/>
  <c r="D48" i="1"/>
  <c r="D46" i="1"/>
  <c r="D33" i="1"/>
  <c r="D34" i="1"/>
  <c r="D45" i="1"/>
  <c r="D129" i="1"/>
  <c r="D130" i="1" s="1"/>
  <c r="D131" i="1" s="1"/>
  <c r="D132" i="1" s="1"/>
  <c r="D133" i="1" s="1"/>
  <c r="D39" i="1"/>
  <c r="D16" i="1" l="1"/>
  <c r="D138" i="1" s="1"/>
  <c r="C28" i="1"/>
  <c r="D31" i="1"/>
  <c r="D29" i="1"/>
  <c r="D123" i="1"/>
  <c r="D124" i="1" s="1"/>
  <c r="D127" i="1" s="1"/>
  <c r="D50" i="1"/>
  <c r="D44" i="1"/>
  <c r="D43" i="1"/>
  <c r="D53" i="1" l="1"/>
  <c r="D54" i="1" s="1"/>
  <c r="D41" i="1"/>
  <c r="D49" i="1"/>
  <c r="D42" i="1"/>
  <c r="D139" i="1"/>
  <c r="D144" i="1" s="1"/>
  <c r="D147" i="1" s="1"/>
  <c r="J4" i="2" s="1"/>
  <c r="L4" i="2" s="1"/>
  <c r="D143" i="1"/>
  <c r="D68" i="1"/>
  <c r="D62" i="1" l="1"/>
  <c r="D59" i="1"/>
  <c r="D57" i="1"/>
  <c r="D102" i="1" s="1"/>
  <c r="D103" i="1" s="1"/>
  <c r="D64" i="1"/>
  <c r="D61" i="1"/>
  <c r="D56" i="1"/>
  <c r="D100" i="1" s="1"/>
  <c r="D101" i="1" s="1"/>
  <c r="D58" i="1"/>
  <c r="D63" i="1"/>
  <c r="D66" i="1"/>
  <c r="D67" i="1"/>
  <c r="D65" i="1"/>
  <c r="D109" i="1" s="1"/>
  <c r="D110" i="1" s="1"/>
  <c r="D111" i="1" l="1"/>
  <c r="D112" i="1" s="1"/>
  <c r="D104" i="1"/>
  <c r="D106" i="1"/>
  <c r="D107" i="1" s="1"/>
  <c r="D134" i="1" l="1"/>
  <c r="D105" i="1"/>
  <c r="J3" i="2" s="1"/>
  <c r="L3" i="2" s="1"/>
</calcChain>
</file>

<file path=xl/sharedStrings.xml><?xml version="1.0" encoding="utf-8"?>
<sst xmlns="http://schemas.openxmlformats.org/spreadsheetml/2006/main" count="728" uniqueCount="508">
  <si>
    <t>Aprēķina parametrs</t>
  </si>
  <si>
    <t>Spāres laidums horizontālā projekcijā</t>
  </si>
  <si>
    <t>Spāres pārkares garums horizontālā projekcijā</t>
  </si>
  <si>
    <t>Spāres pārkares garums</t>
  </si>
  <si>
    <t>Spāru solis</t>
  </si>
  <si>
    <t>Spāres slīpuma leņķis, grādos</t>
  </si>
  <si>
    <t>Spāres slīpuma leņķis, radiānos</t>
  </si>
  <si>
    <t>Spāres faktiskais laidums</t>
  </si>
  <si>
    <t>Drošuma faktori pastāvīgām slodzēm:</t>
  </si>
  <si>
    <t>Drošuma faktors mainīgām slodzēm</t>
  </si>
  <si>
    <t>Apzīmējums</t>
  </si>
  <si>
    <t>L=</t>
  </si>
  <si>
    <t>a =</t>
  </si>
  <si>
    <t>Dotā vērtība vai aprēķina formula</t>
  </si>
  <si>
    <t>=wkup*a</t>
  </si>
  <si>
    <t>=gd*COS(al)</t>
  </si>
  <si>
    <t>Rezultāts</t>
  </si>
  <si>
    <t>Mērvienība</t>
  </si>
  <si>
    <t>m</t>
  </si>
  <si>
    <t>rad</t>
  </si>
  <si>
    <t>kN/m</t>
  </si>
  <si>
    <t xml:space="preserve"> =Vsp*5,5/(Lo+co)</t>
  </si>
  <si>
    <t xml:space="preserve"> =ck/COS(al)</t>
  </si>
  <si>
    <t xml:space="preserve"> =RADIANS(alg)</t>
  </si>
  <si>
    <t xml:space="preserve"> =L/COS(al)</t>
  </si>
  <si>
    <t xml:space="preserve"> =gko*a</t>
  </si>
  <si>
    <t xml:space="preserve"> =b/100*h/100*(co+Lo)</t>
  </si>
  <si>
    <t xml:space="preserve"> =gjk+gsk</t>
  </si>
  <si>
    <t xml:space="preserve"> =gk*COS(al)</t>
  </si>
  <si>
    <t xml:space="preserve"> =IF(alg&gt;30;0,8*((60-alg)/30);0,8)</t>
  </si>
  <si>
    <t xml:space="preserve"> =sk*(COS(al))^2</t>
  </si>
  <si>
    <t>=gd*SIN(al)</t>
  </si>
  <si>
    <t>=sk*gfs</t>
  </si>
  <si>
    <t>Kombināciju koeficients sniega slodzei</t>
  </si>
  <si>
    <t>Kombināciju koeficients vēja slodzei</t>
  </si>
  <si>
    <t>Lieces momenti no pastāvīgās slodzes:</t>
  </si>
  <si>
    <t>kNm</t>
  </si>
  <si>
    <t>spāres šķēlumā virs balsta dzegā</t>
  </si>
  <si>
    <t>kN</t>
  </si>
  <si>
    <t>no sniega slodzes dzegas šķēlumā</t>
  </si>
  <si>
    <t>no vēja spiediena slodzes dzegas šķēlumā</t>
  </si>
  <si>
    <t>Balstreakcija dzegā no vēja sūces efekta</t>
  </si>
  <si>
    <t>no minimālās pastāvīgās slodzes</t>
  </si>
  <si>
    <t>Atraušanas spēks dzegā vidējai spārei</t>
  </si>
  <si>
    <t>Lieces momenti slodžu kombinācijās</t>
  </si>
  <si>
    <t>pastāvīgā + sniega slodze: maksimālais laidumā</t>
  </si>
  <si>
    <t>kNcm</t>
  </si>
  <si>
    <t>šķēlumā virs balsta dzegā</t>
  </si>
  <si>
    <t>=100*(MdgL+MdwL+psios*MdsL)</t>
  </si>
  <si>
    <t>=100*(Mdgc+Mdwc+psios*Mdsc)</t>
  </si>
  <si>
    <t>pastāvīgās un vēja sūces kombinācijā laidumā</t>
  </si>
  <si>
    <t>iedarbojoties īslaicīgai slodzei</t>
  </si>
  <si>
    <t>Elementa šķērsgriezuma augstuma faktors</t>
  </si>
  <si>
    <t>Materiāla drošuma faktors</t>
  </si>
  <si>
    <t>=fmk*kh*kmods/gM</t>
  </si>
  <si>
    <t>=fmk*kh*kmodw/gM</t>
  </si>
  <si>
    <t>=fvk*kmods/gM</t>
  </si>
  <si>
    <t>=fvk*kmodw/gM</t>
  </si>
  <si>
    <t>=fc0k*kmods/gM</t>
  </si>
  <si>
    <t>=kmods*fc90k/gM</t>
  </si>
  <si>
    <t>Koksnes blīvuma raksturvērtība</t>
  </si>
  <si>
    <t>Spāres šķērsgriezumu raksturlielumi:</t>
  </si>
  <si>
    <t>b=</t>
  </si>
  <si>
    <t>cm</t>
  </si>
  <si>
    <t>h=</t>
  </si>
  <si>
    <t>h/b=</t>
  </si>
  <si>
    <t>Normālspriegumu stiprības pārbaudes liecē</t>
  </si>
  <si>
    <t>nestspējas izmantošanas pakāpe</t>
  </si>
  <si>
    <t>%</t>
  </si>
  <si>
    <t>Normālspriegumi slodžu kombinācijās ar vēju</t>
  </si>
  <si>
    <t>Normālspriegumi vājinātā šķēlumā</t>
  </si>
  <si>
    <t>Tangenciālspriegumu stiprības pārbaude pie balsta</t>
  </si>
  <si>
    <t>Tangenciālspriegumi kombinācijās ar vēja slodzi</t>
  </si>
  <si>
    <t>Augstums pie balsta</t>
  </si>
  <si>
    <t>Vājinātā un pilnā šķēluma augstumu attiecība</t>
  </si>
  <si>
    <t>Koksnes materiāla parametrs darbībai skaldē</t>
  </si>
  <si>
    <t>Piezāģējuma posma garums</t>
  </si>
  <si>
    <t>Piezāģējuma slīpums</t>
  </si>
  <si>
    <t>i=</t>
  </si>
  <si>
    <t>x=</t>
  </si>
  <si>
    <t>=hef/4</t>
  </si>
  <si>
    <t>Iecirtuma formas koeficients</t>
  </si>
  <si>
    <t>Nestspējas izmantošanas pakāpe:</t>
  </si>
  <si>
    <t>Spāres pārbaude ekscentriskā spiedē ar iespējamo ļodzi lieces plaknē</t>
  </si>
  <si>
    <t>Spāres efektīvais garums lieces plaknē</t>
  </si>
  <si>
    <t>Spāres slaidums lieces plaknē</t>
  </si>
  <si>
    <t>Relatīvais slaidums</t>
  </si>
  <si>
    <t>Slaiduma parametrs</t>
  </si>
  <si>
    <t>Ļodzes faktors</t>
  </si>
  <si>
    <t>Nestspējas izmantošanas pakāpe ekscentr spiedē</t>
  </si>
  <si>
    <t>Spāres stinguma (izlieces) pārbaude</t>
  </si>
  <si>
    <t>Slogojuma shēmas faktors sadalītai slodzei</t>
  </si>
  <si>
    <t>Elastīgā izliece no pastāvīgās slodzes</t>
  </si>
  <si>
    <t>Galīgā izliece no pastāvīgās slodzes</t>
  </si>
  <si>
    <t>Elastīgā izliece no mainīgās slodzes</t>
  </si>
  <si>
    <t>Kombināciju koeficients</t>
  </si>
  <si>
    <t>Galīgā izliece no mainīgās sniega slodzes</t>
  </si>
  <si>
    <t>Izlieces pieaugums šļūdes rezultātā</t>
  </si>
  <si>
    <t>Galīgā izliece</t>
  </si>
  <si>
    <t>Konstrukcijas nozīmes parametrs</t>
  </si>
  <si>
    <t>Pieļaujamā izliece</t>
  </si>
  <si>
    <t>Nestspējas izmantošanas pakāpe stingumā</t>
  </si>
  <si>
    <t xml:space="preserve"> =so*mi*a</t>
  </si>
  <si>
    <t xml:space="preserve"> =wka*a</t>
  </si>
  <si>
    <t xml:space="preserve"> =sd*(COS(al))^2</t>
  </si>
  <si>
    <t xml:space="preserve"> =sd*COS(al)*SIN(al)</t>
  </si>
  <si>
    <t xml:space="preserve"> =wk*gfs</t>
  </si>
  <si>
    <t xml:space="preserve"> =wks*gfs</t>
  </si>
  <si>
    <t xml:space="preserve"> =(Lo^2-2*co^2)/(2*Lo)</t>
  </si>
  <si>
    <t xml:space="preserve"> =gd_90*(Lo^2-co^2)^2/(8*Lo^2)</t>
  </si>
  <si>
    <t xml:space="preserve"> =gd_90*co^2/2</t>
  </si>
  <si>
    <t xml:space="preserve"> =sd_90*(Lo^2-co^2)^2/(8*Lo^2)</t>
  </si>
  <si>
    <t xml:space="preserve"> =wd*(Lo^2-co^2)^2/(8*Lo^2)</t>
  </si>
  <si>
    <t xml:space="preserve"> =wd*co^2/2</t>
  </si>
  <si>
    <t xml:space="preserve"> =wds*(Lo^2-co^2)^2/(8*Lo^2)</t>
  </si>
  <si>
    <t xml:space="preserve"> =wds*co^2/2</t>
  </si>
  <si>
    <t xml:space="preserve"> =wd*(co+Lo)^2/(2* Lo)-wd*co</t>
  </si>
  <si>
    <t xml:space="preserve"> =wds*(co+Lo)^2/(2*Lo)</t>
  </si>
  <si>
    <t xml:space="preserve"> =Vdws-Vdgmin</t>
  </si>
  <si>
    <t xml:space="preserve"> =100*(MdgL+MdsL)</t>
  </si>
  <si>
    <t xml:space="preserve"> =100*(Mdgc+Mdsc)</t>
  </si>
  <si>
    <t xml:space="preserve"> =sd_90*co^2/2</t>
  </si>
  <si>
    <t xml:space="preserve"> =gd_90*(co+Lo)^2/(2*Lo)-gd_90*co</t>
  </si>
  <si>
    <t xml:space="preserve"> =sd_90*(co+Lo)^2/(2*Lo)-sd_90*co</t>
  </si>
  <si>
    <t>kg/m3</t>
  </si>
  <si>
    <t xml:space="preserve"> =gk_90*gfmin*(co+Lo)^2/(2*Lo)</t>
  </si>
  <si>
    <t xml:space="preserve"> =Qdg+Qds+psiow* Qdw</t>
  </si>
  <si>
    <t xml:space="preserve"> =(gd0+sd0)*Lo</t>
  </si>
  <si>
    <t xml:space="preserve"> =Qdg+Qdw+psios*Qds</t>
  </si>
  <si>
    <t xml:space="preserve"> =Qdg+Qds</t>
  </si>
  <si>
    <t xml:space="preserve"> = 100*(Mdwsc-gfmin*Mdgc/gfg)</t>
  </si>
  <si>
    <t xml:space="preserve"> =100*(MdwsL-gfmin*MdgL/gfg)</t>
  </si>
  <si>
    <t xml:space="preserve"> =100*(MdgL+psiow*MdwL+MdsL)</t>
  </si>
  <si>
    <t xml:space="preserve"> =100*(Mdgc+psiow*Mdwc+Mdsc)</t>
  </si>
  <si>
    <t xml:space="preserve"> =IF(h*10&lt;150;MIN((150/(h*10))^0,2;1,3);1)</t>
  </si>
  <si>
    <t xml:space="preserve"> =4*h/5</t>
  </si>
  <si>
    <t xml:space="preserve"> =b*hef^3/12</t>
  </si>
  <si>
    <t xml:space="preserve"> =b*hef^2/6</t>
  </si>
  <si>
    <t xml:space="preserve"> =b*h</t>
  </si>
  <si>
    <t xml:space="preserve"> =b*h^2/6</t>
  </si>
  <si>
    <t xml:space="preserve"> =b*h^3/12</t>
  </si>
  <si>
    <t xml:space="preserve"> =b^3*h/12</t>
  </si>
  <si>
    <t xml:space="preserve"> =h/b</t>
  </si>
  <si>
    <t xml:space="preserve"> =MdgsL/Wy</t>
  </si>
  <si>
    <t xml:space="preserve"> =100*smdgsL/fmds</t>
  </si>
  <si>
    <t xml:space="preserve"> =Mdgsc/Wyef</t>
  </si>
  <si>
    <t xml:space="preserve"> =MAX(MdgwsL;MdgswL;MdgwL)/Wy</t>
  </si>
  <si>
    <t xml:space="preserve"> =100*smdgsc/fmds</t>
  </si>
  <si>
    <t xml:space="preserve"> =100*smdgsw/fmdw</t>
  </si>
  <si>
    <t xml:space="preserve"> =MAX(Mdgwsc;Mdgswc;Mdgwc)/Wyef</t>
  </si>
  <si>
    <t xml:space="preserve"> =100*smdef/fmdw</t>
  </si>
  <si>
    <t xml:space="preserve"> =1,5*Qdgs/(b*hef)</t>
  </si>
  <si>
    <t xml:space="preserve"> =100*tds/(kv*fvds)</t>
  </si>
  <si>
    <t xml:space="preserve"> =100*tdsw/(kv*fvdw)</t>
  </si>
  <si>
    <t xml:space="preserve"> =hef/h</t>
  </si>
  <si>
    <t>cc=</t>
  </si>
  <si>
    <t xml:space="preserve"> =cc/(h-hef)</t>
  </si>
  <si>
    <t xml:space="preserve"> =kn*(1+1,1*i^1,5/SQRT(h))/(SQRT(h)*(SQRT(aef*(1-aef))+0,8*x*SQRT(1/aef-aef^2)))</t>
  </si>
  <si>
    <t xml:space="preserve"> =(h-hef)/SIN(al)</t>
  </si>
  <si>
    <t xml:space="preserve"> =(gd/COS(al)+sd)*(ck+L)^2/(2*L)</t>
  </si>
  <si>
    <t xml:space="preserve"> =Vc/(lb*b)</t>
  </si>
  <si>
    <t xml:space="preserve"> =IF(kc90&gt;4;(4*fc90d);(kc90*fc90d))</t>
  </si>
  <si>
    <t xml:space="preserve"> =100*sc90d/kc90_fc90d</t>
  </si>
  <si>
    <t xml:space="preserve"> =100*Lo</t>
  </si>
  <si>
    <t xml:space="preserve"> =lefy/(0,289*h)</t>
  </si>
  <si>
    <t xml:space="preserve"> =lmy*SQRT(fc0k/E_05)/PI()</t>
  </si>
  <si>
    <t xml:space="preserve"> =(1+0,2*(lrely-0,3)+lrely^2)/2</t>
  </si>
  <si>
    <t xml:space="preserve"> =1/(ky+SQRT(ky^2-lrely^2))</t>
  </si>
  <si>
    <t xml:space="preserve"> =100*(smdgsw/fmdw+Nd/(As*kcy*fc0d))</t>
  </si>
  <si>
    <t>kf=</t>
  </si>
  <si>
    <t xml:space="preserve"> =5/384</t>
  </si>
  <si>
    <t xml:space="preserve"> =kf*(gk 90/100)*(Lo* 100)^4/(Emean*Jy)</t>
  </si>
  <si>
    <t xml:space="preserve"> =uinstg*(1+kdef)</t>
  </si>
  <si>
    <t xml:space="preserve"> =kf*(sk_90/100)*(Lo*100)^4/(Emean*Jy)</t>
  </si>
  <si>
    <t xml:space="preserve"> =uinstq*(1+psi2*kdef)</t>
  </si>
  <si>
    <t xml:space="preserve"> =uinstg*kdef+ufinq*psi2*kdef</t>
  </si>
  <si>
    <t xml:space="preserve"> =ufing+ufinq</t>
  </si>
  <si>
    <t xml:space="preserve"> =L*100/no</t>
  </si>
  <si>
    <t xml:space="preserve"> =100*ufin/uadm</t>
  </si>
  <si>
    <t xml:space="preserve">   pastāvīgā nojumta konstrukcijas</t>
  </si>
  <si>
    <t xml:space="preserve">   spāres kubatūra, neto</t>
  </si>
  <si>
    <t xml:space="preserve">   spāres pašsvara slodze</t>
  </si>
  <si>
    <t xml:space="preserve">   kopā pastāvīgā vertikālā</t>
  </si>
  <si>
    <t xml:space="preserve">   kopā pastāvīgās komponente šķērsām spāres asij</t>
  </si>
  <si>
    <t xml:space="preserve">   pārejas koeficients</t>
  </si>
  <si>
    <t xml:space="preserve">   sniega slodzes raksturvērtība, vertikālā, horiz. proj.</t>
  </si>
  <si>
    <t xml:space="preserve">   komponente šķērsām spāres asij</t>
  </si>
  <si>
    <t xml:space="preserve">   vēja statiskā spiediena komponente</t>
  </si>
  <si>
    <t xml:space="preserve">   vēja sūces komponente vidējām spārēm</t>
  </si>
  <si>
    <t xml:space="preserve">   pastāvīgās komponente šķērsām jumta plaknei</t>
  </si>
  <si>
    <t xml:space="preserve">   pastāvīgās slodzes komponente spāres ass virzienā</t>
  </si>
  <si>
    <t xml:space="preserve">   mainīgā sniega slodze</t>
  </si>
  <si>
    <t xml:space="preserve">   komponente šķērsām jumta plaknei</t>
  </si>
  <si>
    <t xml:space="preserve">   sniega slodzes komponente spāres ass virzienā</t>
  </si>
  <si>
    <t xml:space="preserve">   vēja statiskā spiediena slodze</t>
  </si>
  <si>
    <t xml:space="preserve">   vēja sūces efekts vidējām spārēm</t>
  </si>
  <si>
    <t xml:space="preserve">   skaldē</t>
  </si>
  <si>
    <t xml:space="preserve">   spiedē šķiedru virzienā</t>
  </si>
  <si>
    <t xml:space="preserve">   spiedē šķērsām šķiedrām</t>
  </si>
  <si>
    <t xml:space="preserve">   liecē pastāvīgās, sniega un vēja kombinācijai</t>
  </si>
  <si>
    <t xml:space="preserve">   skaldē pastāvīgās un sniega kombinācijai</t>
  </si>
  <si>
    <t xml:space="preserve">   skaldē pastāvīgās un vēja kombinācijai</t>
  </si>
  <si>
    <t xml:space="preserve">   elastības modulis- garantētā vērtība</t>
  </si>
  <si>
    <t xml:space="preserve">   šļūdes deformāciju faktors</t>
  </si>
  <si>
    <t xml:space="preserve">   platums</t>
  </si>
  <si>
    <t xml:space="preserve">   augstums iecirtuma vietā</t>
  </si>
  <si>
    <t xml:space="preserve">   inerces moments šķēlumam uz balsta</t>
  </si>
  <si>
    <t xml:space="preserve">   pretestības moments, neto</t>
  </si>
  <si>
    <t xml:space="preserve">   maksimālais augstums</t>
  </si>
  <si>
    <t xml:space="preserve">   bruto šķēluma laukums</t>
  </si>
  <si>
    <t xml:space="preserve">   attiecība</t>
  </si>
  <si>
    <t xml:space="preserve">   pretestības moments, bruto</t>
  </si>
  <si>
    <t xml:space="preserve">   inerces moments pret asi y-y</t>
  </si>
  <si>
    <t xml:space="preserve">   inerces moments pret asi z-z</t>
  </si>
  <si>
    <t xml:space="preserve">   spiedes spēka aprēķina vērtība</t>
  </si>
  <si>
    <t xml:space="preserve">   normālspriegumi</t>
  </si>
  <si>
    <t xml:space="preserve">   slogojuma izkliedes faktors vainagsijai</t>
  </si>
  <si>
    <t>Attālums</t>
  </si>
  <si>
    <t>a=</t>
  </si>
  <si>
    <t>m=</t>
  </si>
  <si>
    <t>Attālums no balsta līdz max momenta šķēlumam</t>
  </si>
  <si>
    <t xml:space="preserve"> = 1,5 * MAX(Qdgws;Qdgsw)/(b* hef)</t>
  </si>
  <si>
    <t>Spāres laidums</t>
  </si>
  <si>
    <t>Jumta slīpums</t>
  </si>
  <si>
    <t>Nosaukums</t>
  </si>
  <si>
    <t>Vērtība</t>
  </si>
  <si>
    <t>L</t>
  </si>
  <si>
    <t>a</t>
  </si>
  <si>
    <t>grādi</t>
  </si>
  <si>
    <t>Izejas dati</t>
  </si>
  <si>
    <t>Piezīmes</t>
  </si>
  <si>
    <t>Spāres šķērsgriezuma augstums</t>
  </si>
  <si>
    <t>h</t>
  </si>
  <si>
    <t>mm</t>
  </si>
  <si>
    <t>Spāres šķērsgriezuma platums</t>
  </si>
  <si>
    <t>b</t>
  </si>
  <si>
    <t>Pieņemtie aprēķina lielumi</t>
  </si>
  <si>
    <t>Jumta konstrukcijas slodzes raksturvērtība</t>
  </si>
  <si>
    <t>kN/m²</t>
  </si>
  <si>
    <t>α</t>
  </si>
  <si>
    <t>Sniega segas svars</t>
  </si>
  <si>
    <t>Spāres pārkares garums horizontālajā projekcijā</t>
  </si>
  <si>
    <t>Drošuma faktors patstāvīgām slodzēm</t>
  </si>
  <si>
    <t>Skujkoku zāģmateriālu klase</t>
  </si>
  <si>
    <t>C24</t>
  </si>
  <si>
    <t>Aprēķina rezultāti</t>
  </si>
  <si>
    <t>Spāres nestspējas izmantošanas pakāpe pēc stiprībs</t>
  </si>
  <si>
    <t>Spāres nestspējas izmantošanas pakāpe stingumā (izliece)</t>
  </si>
  <si>
    <t>&lt;100</t>
  </si>
  <si>
    <t>LIECE</t>
  </si>
  <si>
    <t>Izejas dati:</t>
  </si>
  <si>
    <t>Liektā elementa platums: b=</t>
  </si>
  <si>
    <t>Liektā elementa augstums: h=</t>
  </si>
  <si>
    <t>Liektā elementa laidums: L=</t>
  </si>
  <si>
    <t>m           =</t>
  </si>
  <si>
    <t>Patst. normatīvā slodze: Gk=</t>
  </si>
  <si>
    <t>Mainīgā normat. Slodze: Qk=</t>
  </si>
  <si>
    <t>Koksnes stiprības klase:</t>
  </si>
  <si>
    <t xml:space="preserve"> =&gt;</t>
  </si>
  <si>
    <t>Lietojamības klase:</t>
  </si>
  <si>
    <t>vid ilguma slodzei</t>
  </si>
  <si>
    <t>Aprēķins:</t>
  </si>
  <si>
    <t>Aprēķina laidums:</t>
  </si>
  <si>
    <t>Slodze:</t>
  </si>
  <si>
    <t>γGi</t>
  </si>
  <si>
    <t>γQ1</t>
  </si>
  <si>
    <t>Nestspējas pārbaude:</t>
  </si>
  <si>
    <t>Mazākais starp:</t>
  </si>
  <si>
    <t>MIN</t>
  </si>
  <si>
    <t>Masīva koksne</t>
  </si>
  <si>
    <t>vai</t>
  </si>
  <si>
    <t>Līmēta koksne</t>
  </si>
  <si>
    <t>LVL</t>
  </si>
  <si>
    <t>Vai nestspēja ir nodrošināta?</t>
  </si>
  <si>
    <t>&lt;/=1</t>
  </si>
  <si>
    <t>Bīdes (skaldes) izturības pārbaude:</t>
  </si>
  <si>
    <t>Jāizpildās</t>
  </si>
  <si>
    <t>kN=</t>
  </si>
  <si>
    <t>N</t>
  </si>
  <si>
    <t>Citi veidi</t>
  </si>
  <si>
    <t>Vai bīdes (skaldes) izturība ir nodrošināta?</t>
  </si>
  <si>
    <t>Pārbauda sijas noturību darba plaknē:</t>
  </si>
  <si>
    <t>Skujkokiem ar vienlaidu taisnstūra sķ.griez.</t>
  </si>
  <si>
    <t>Ja</t>
  </si>
  <si>
    <t>Tad</t>
  </si>
  <si>
    <t>≤0,75</t>
  </si>
  <si>
    <t>Vai sijas noturība darba plaknē ir nodrošināta?</t>
  </si>
  <si>
    <t>Pārbauda elementa pārvietojumus (deformācijas):</t>
  </si>
  <si>
    <t>Gan līmetai gan masīvai koksnei:</t>
  </si>
  <si>
    <t>Servisa klase</t>
  </si>
  <si>
    <t>Vai deformācijas nepārsniedz pieļaujamās?</t>
  </si>
  <si>
    <t>Sijas laidums</t>
  </si>
  <si>
    <t>Siju solis</t>
  </si>
  <si>
    <t>Grīas konstrukcijas slodzes raksturvērtība</t>
  </si>
  <si>
    <t>Lietderīgās slodzes raksturvērtība</t>
  </si>
  <si>
    <t>Sijas šķērsgriezuma augstums</t>
  </si>
  <si>
    <t>Sijas šķērsgriezuma platums</t>
  </si>
  <si>
    <t>Sijas nestspējas izmantošanas pakāpe pēc stiprībs</t>
  </si>
  <si>
    <t>Sijas nestspējas izmantošanas pakāpe stingumā (izliece)</t>
  </si>
  <si>
    <t>Sijas atbalsta laidums</t>
  </si>
  <si>
    <t>Jumta tips</t>
  </si>
  <si>
    <t>Nesiltināts, tērauda jumta segums</t>
  </si>
  <si>
    <t>Nesiltināts, šķiedrcementa lokšņu segums</t>
  </si>
  <si>
    <t>Nesiltināts, bitumena šindeļa segums</t>
  </si>
  <si>
    <t>Siltināts, tērauda jumta segums</t>
  </si>
  <si>
    <t>Siltināts, šķiedrcementa lokšņu segums</t>
  </si>
  <si>
    <t>Siltināts, bitumena šindeļa segums</t>
  </si>
  <si>
    <t>gk kN/m²</t>
  </si>
  <si>
    <t>Nesiltināts, betona dakstiņa segums</t>
  </si>
  <si>
    <t>Siltināts, betona dakstiņa segums</t>
  </si>
  <si>
    <r>
      <t>c</t>
    </r>
    <r>
      <rPr>
        <vertAlign val="subscript"/>
        <sz val="11"/>
        <rFont val="Courier New"/>
        <family val="3"/>
        <charset val="186"/>
      </rPr>
      <t>k</t>
    </r>
  </si>
  <si>
    <r>
      <t>G</t>
    </r>
    <r>
      <rPr>
        <vertAlign val="subscript"/>
        <sz val="11"/>
        <rFont val="Courier New"/>
        <family val="3"/>
        <charset val="186"/>
      </rPr>
      <t>k</t>
    </r>
  </si>
  <si>
    <r>
      <t>s</t>
    </r>
    <r>
      <rPr>
        <vertAlign val="subscript"/>
        <sz val="11"/>
        <rFont val="Courier New"/>
        <family val="3"/>
        <charset val="186"/>
      </rPr>
      <t>0</t>
    </r>
  </si>
  <si>
    <r>
      <t>c</t>
    </r>
    <r>
      <rPr>
        <vertAlign val="subscript"/>
        <sz val="11"/>
        <rFont val="Courier New"/>
        <family val="3"/>
        <charset val="186"/>
      </rPr>
      <t>s</t>
    </r>
  </si>
  <si>
    <r>
      <t>c</t>
    </r>
    <r>
      <rPr>
        <vertAlign val="subscript"/>
        <sz val="11"/>
        <rFont val="Courier New"/>
        <family val="3"/>
        <charset val="186"/>
      </rPr>
      <t>u</t>
    </r>
  </si>
  <si>
    <t>attālums</t>
  </si>
  <si>
    <t>lenķis</t>
  </si>
  <si>
    <t>platums</t>
  </si>
  <si>
    <t>augstums</t>
  </si>
  <si>
    <r>
      <t>L</t>
    </r>
    <r>
      <rPr>
        <vertAlign val="subscript"/>
        <sz val="11"/>
        <rFont val="Courier New"/>
        <family val="3"/>
        <charset val="186"/>
      </rPr>
      <t>a</t>
    </r>
  </si>
  <si>
    <r>
      <t>Q</t>
    </r>
    <r>
      <rPr>
        <vertAlign val="subscript"/>
        <sz val="11"/>
        <rFont val="Calibri"/>
        <family val="2"/>
        <charset val="186"/>
      </rPr>
      <t>k</t>
    </r>
  </si>
  <si>
    <t>liet</t>
  </si>
  <si>
    <t>pats</t>
  </si>
  <si>
    <t>uz m²</t>
  </si>
  <si>
    <t>solis</t>
  </si>
  <si>
    <t>&lt;(L/250)=</t>
  </si>
  <si>
    <t>Pārseguma izmantošanas veids</t>
  </si>
  <si>
    <t>Pārseguma konstrukcijas tips</t>
  </si>
  <si>
    <t>qk kN/m²</t>
  </si>
  <si>
    <t>lietderigas slodzes nosuakums</t>
  </si>
  <si>
    <t>Glabātavas platība</t>
  </si>
  <si>
    <t>Sadzīves platība</t>
  </si>
  <si>
    <t>Neizmantojama platība</t>
  </si>
  <si>
    <t>Konstrukcijas nosaukums</t>
  </si>
  <si>
    <t>Nesiltināts pārsegums, ar iekārtiem griestiem, bez grīdas konstrukcijas</t>
  </si>
  <si>
    <t>Nesiltināts pārsegums, ar iekārtiem griestiem, ar grīdas konstrukcijas</t>
  </si>
  <si>
    <t>Siltināts pārsegums, ar iekārtiem griestiem, bez grīdas konstrukcijas</t>
  </si>
  <si>
    <t>Siltināts pārsegums, ar iekārtiem griestiem, ar grīdas konstrukcijas</t>
  </si>
  <si>
    <r>
      <t>c</t>
    </r>
    <r>
      <rPr>
        <vertAlign val="subscript"/>
        <sz val="10"/>
        <color theme="0"/>
        <rFont val="Calibri"/>
        <family val="2"/>
        <charset val="186"/>
        <scheme val="minor"/>
      </rPr>
      <t>k</t>
    </r>
    <r>
      <rPr>
        <sz val="10"/>
        <color theme="0"/>
        <rFont val="Calibri"/>
        <family val="2"/>
        <charset val="186"/>
        <scheme val="minor"/>
      </rPr>
      <t>=</t>
    </r>
  </si>
  <si>
    <r>
      <t>c</t>
    </r>
    <r>
      <rPr>
        <vertAlign val="subscript"/>
        <sz val="10"/>
        <color theme="0"/>
        <rFont val="Calibri"/>
        <family val="2"/>
        <charset val="186"/>
        <scheme val="minor"/>
      </rPr>
      <t>0</t>
    </r>
    <r>
      <rPr>
        <sz val="10"/>
        <color theme="0"/>
        <rFont val="Calibri"/>
        <family val="2"/>
        <charset val="186"/>
        <scheme val="minor"/>
      </rPr>
      <t>=</t>
    </r>
  </si>
  <si>
    <r>
      <t>L</t>
    </r>
    <r>
      <rPr>
        <vertAlign val="subscript"/>
        <sz val="10"/>
        <color theme="0"/>
        <rFont val="Calibri"/>
        <family val="2"/>
        <charset val="186"/>
        <scheme val="minor"/>
      </rPr>
      <t>0</t>
    </r>
    <r>
      <rPr>
        <sz val="10"/>
        <color theme="0"/>
        <rFont val="Calibri"/>
        <family val="2"/>
        <charset val="186"/>
        <scheme val="minor"/>
      </rPr>
      <t>=</t>
    </r>
  </si>
  <si>
    <r>
      <t>Pastāvīgo slodžu raksturvērtības:</t>
    </r>
    <r>
      <rPr>
        <sz val="10"/>
        <color theme="0"/>
        <rFont val="Calibri"/>
        <family val="2"/>
        <charset val="186"/>
        <scheme val="minor"/>
      </rPr>
      <t xml:space="preserve"> jumta konstrukcija</t>
    </r>
  </si>
  <si>
    <r>
      <t>g</t>
    </r>
    <r>
      <rPr>
        <vertAlign val="subscript"/>
        <sz val="10"/>
        <color theme="0"/>
        <rFont val="Calibri"/>
        <family val="2"/>
        <charset val="186"/>
        <scheme val="minor"/>
      </rPr>
      <t>ko</t>
    </r>
    <r>
      <rPr>
        <sz val="10"/>
        <color theme="0"/>
        <rFont val="Calibri"/>
        <family val="2"/>
        <charset val="186"/>
        <scheme val="minor"/>
      </rPr>
      <t>=</t>
    </r>
  </si>
  <si>
    <r>
      <t>kN/m</t>
    </r>
    <r>
      <rPr>
        <vertAlign val="superscript"/>
        <sz val="10"/>
        <color theme="0"/>
        <rFont val="Calibri"/>
        <family val="2"/>
        <charset val="186"/>
        <scheme val="minor"/>
      </rPr>
      <t>2</t>
    </r>
  </si>
  <si>
    <r>
      <t>g</t>
    </r>
    <r>
      <rPr>
        <vertAlign val="subscript"/>
        <sz val="10"/>
        <color theme="0"/>
        <rFont val="Calibri"/>
        <family val="2"/>
        <charset val="186"/>
        <scheme val="minor"/>
      </rPr>
      <t>j,k</t>
    </r>
    <r>
      <rPr>
        <sz val="10"/>
        <color theme="0"/>
        <rFont val="Calibri"/>
        <family val="2"/>
        <charset val="186"/>
        <scheme val="minor"/>
      </rPr>
      <t>=</t>
    </r>
  </si>
  <si>
    <r>
      <t>V</t>
    </r>
    <r>
      <rPr>
        <vertAlign val="subscript"/>
        <sz val="10"/>
        <color theme="0"/>
        <rFont val="Calibri"/>
        <family val="2"/>
        <charset val="186"/>
        <scheme val="minor"/>
      </rPr>
      <t>sp</t>
    </r>
    <r>
      <rPr>
        <sz val="10"/>
        <color theme="0"/>
        <rFont val="Calibri"/>
        <family val="2"/>
        <charset val="186"/>
        <scheme val="minor"/>
      </rPr>
      <t>=</t>
    </r>
  </si>
  <si>
    <r>
      <t>m</t>
    </r>
    <r>
      <rPr>
        <vertAlign val="superscript"/>
        <sz val="10"/>
        <color theme="0"/>
        <rFont val="Calibri"/>
        <family val="2"/>
        <charset val="186"/>
        <scheme val="minor"/>
      </rPr>
      <t>3</t>
    </r>
  </si>
  <si>
    <r>
      <t>g</t>
    </r>
    <r>
      <rPr>
        <vertAlign val="subscript"/>
        <sz val="10"/>
        <color theme="0"/>
        <rFont val="Calibri"/>
        <family val="2"/>
        <charset val="186"/>
        <scheme val="minor"/>
      </rPr>
      <t>s,k</t>
    </r>
    <r>
      <rPr>
        <sz val="10"/>
        <color theme="0"/>
        <rFont val="Calibri"/>
        <family val="2"/>
        <charset val="186"/>
        <scheme val="minor"/>
      </rPr>
      <t>=</t>
    </r>
  </si>
  <si>
    <r>
      <t>g</t>
    </r>
    <r>
      <rPr>
        <vertAlign val="subscript"/>
        <sz val="10"/>
        <color theme="0"/>
        <rFont val="Calibri"/>
        <family val="2"/>
        <charset val="186"/>
        <scheme val="minor"/>
      </rPr>
      <t>k</t>
    </r>
    <r>
      <rPr>
        <sz val="10"/>
        <color theme="0"/>
        <rFont val="Calibri"/>
        <family val="2"/>
        <charset val="186"/>
        <scheme val="minor"/>
      </rPr>
      <t>=</t>
    </r>
  </si>
  <si>
    <r>
      <t>g</t>
    </r>
    <r>
      <rPr>
        <vertAlign val="subscript"/>
        <sz val="10"/>
        <color theme="0"/>
        <rFont val="Calibri"/>
        <family val="2"/>
        <charset val="186"/>
        <scheme val="minor"/>
      </rPr>
      <t>k</t>
    </r>
    <r>
      <rPr>
        <b/>
        <vertAlign val="subscript"/>
        <sz val="10"/>
        <color theme="0"/>
        <rFont val="Calibri"/>
        <family val="2"/>
        <charset val="186"/>
        <scheme val="minor"/>
      </rPr>
      <t>,</t>
    </r>
    <r>
      <rPr>
        <vertAlign val="subscript"/>
        <sz val="10"/>
        <color theme="0"/>
        <rFont val="Calibri"/>
        <family val="2"/>
        <charset val="186"/>
        <scheme val="minor"/>
      </rPr>
      <t>90</t>
    </r>
    <r>
      <rPr>
        <b/>
        <sz val="10"/>
        <color theme="0"/>
        <rFont val="Calibri"/>
        <family val="2"/>
        <charset val="186"/>
        <scheme val="minor"/>
      </rPr>
      <t>=</t>
    </r>
  </si>
  <si>
    <r>
      <t>g</t>
    </r>
    <r>
      <rPr>
        <vertAlign val="subscript"/>
        <sz val="10"/>
        <color theme="0"/>
        <rFont val="Calibri"/>
        <family val="2"/>
        <charset val="186"/>
        <scheme val="minor"/>
      </rPr>
      <t>f,g</t>
    </r>
    <r>
      <rPr>
        <b/>
        <sz val="10"/>
        <color theme="0"/>
        <rFont val="Calibri"/>
        <family val="2"/>
        <charset val="186"/>
        <scheme val="minor"/>
      </rPr>
      <t>=</t>
    </r>
  </si>
  <si>
    <r>
      <t>g</t>
    </r>
    <r>
      <rPr>
        <vertAlign val="subscript"/>
        <sz val="10"/>
        <color theme="0"/>
        <rFont val="Calibri"/>
        <family val="2"/>
        <charset val="186"/>
        <scheme val="minor"/>
      </rPr>
      <t>f,g,min</t>
    </r>
    <r>
      <rPr>
        <sz val="10"/>
        <color theme="0"/>
        <rFont val="Calibri"/>
        <family val="2"/>
        <charset val="186"/>
        <scheme val="minor"/>
      </rPr>
      <t>=</t>
    </r>
  </si>
  <si>
    <r>
      <t>Mainīgo slodžu raksturvērtības:</t>
    </r>
    <r>
      <rPr>
        <sz val="10"/>
        <color theme="0"/>
        <rFont val="Calibri"/>
        <family val="2"/>
        <charset val="186"/>
        <scheme val="minor"/>
      </rPr>
      <t xml:space="preserve"> sniega segas svars</t>
    </r>
  </si>
  <si>
    <r>
      <t>s</t>
    </r>
    <r>
      <rPr>
        <vertAlign val="subscript"/>
        <sz val="10"/>
        <color theme="0"/>
        <rFont val="Calibri"/>
        <family val="2"/>
        <charset val="186"/>
        <scheme val="minor"/>
      </rPr>
      <t>0</t>
    </r>
    <r>
      <rPr>
        <sz val="10"/>
        <color theme="0"/>
        <rFont val="Calibri"/>
        <family val="2"/>
        <charset val="186"/>
        <scheme val="minor"/>
      </rPr>
      <t>=</t>
    </r>
  </si>
  <si>
    <r>
      <t>s</t>
    </r>
    <r>
      <rPr>
        <vertAlign val="subscript"/>
        <sz val="10"/>
        <color theme="0"/>
        <rFont val="Calibri"/>
        <family val="2"/>
        <charset val="186"/>
        <scheme val="minor"/>
      </rPr>
      <t>k</t>
    </r>
    <r>
      <rPr>
        <sz val="10"/>
        <color theme="0"/>
        <rFont val="Calibri"/>
        <family val="2"/>
        <charset val="186"/>
        <scheme val="minor"/>
      </rPr>
      <t>=</t>
    </r>
  </si>
  <si>
    <r>
      <t>s</t>
    </r>
    <r>
      <rPr>
        <vertAlign val="subscript"/>
        <sz val="10"/>
        <color theme="0"/>
        <rFont val="Calibri"/>
        <family val="2"/>
        <charset val="186"/>
        <scheme val="minor"/>
      </rPr>
      <t>k,90</t>
    </r>
    <r>
      <rPr>
        <sz val="10"/>
        <color theme="0"/>
        <rFont val="Calibri"/>
        <family val="2"/>
        <charset val="186"/>
        <scheme val="minor"/>
      </rPr>
      <t>=</t>
    </r>
  </si>
  <si>
    <r>
      <t>w</t>
    </r>
    <r>
      <rPr>
        <vertAlign val="subscript"/>
        <sz val="10"/>
        <color theme="0"/>
        <rFont val="Calibri"/>
        <family val="2"/>
        <charset val="186"/>
        <scheme val="minor"/>
      </rPr>
      <t>kA</t>
    </r>
    <r>
      <rPr>
        <sz val="10"/>
        <color theme="0"/>
        <rFont val="Calibri"/>
        <family val="2"/>
        <charset val="186"/>
        <scheme val="minor"/>
      </rPr>
      <t>=</t>
    </r>
  </si>
  <si>
    <r>
      <t>W</t>
    </r>
    <r>
      <rPr>
        <vertAlign val="subscript"/>
        <sz val="10"/>
        <color theme="0"/>
        <rFont val="Calibri"/>
        <family val="2"/>
        <charset val="186"/>
        <scheme val="minor"/>
      </rPr>
      <t>k</t>
    </r>
    <r>
      <rPr>
        <sz val="10"/>
        <color theme="0"/>
        <rFont val="Calibri"/>
        <family val="2"/>
        <charset val="186"/>
        <scheme val="minor"/>
      </rPr>
      <t>=</t>
    </r>
  </si>
  <si>
    <r>
      <t>w</t>
    </r>
    <r>
      <rPr>
        <vertAlign val="subscript"/>
        <sz val="10"/>
        <color theme="0"/>
        <rFont val="Calibri"/>
        <family val="2"/>
        <charset val="186"/>
        <scheme val="minor"/>
      </rPr>
      <t>k,up</t>
    </r>
    <r>
      <rPr>
        <sz val="10"/>
        <color theme="0"/>
        <rFont val="Calibri"/>
        <family val="2"/>
        <charset val="186"/>
        <scheme val="minor"/>
      </rPr>
      <t>=</t>
    </r>
  </si>
  <si>
    <r>
      <t>w</t>
    </r>
    <r>
      <rPr>
        <vertAlign val="subscript"/>
        <sz val="10"/>
        <color theme="0"/>
        <rFont val="Calibri"/>
        <family val="2"/>
        <charset val="186"/>
        <scheme val="minor"/>
      </rPr>
      <t>k,s</t>
    </r>
    <r>
      <rPr>
        <sz val="10"/>
        <color theme="0"/>
        <rFont val="Calibri"/>
        <family val="2"/>
        <charset val="186"/>
        <scheme val="minor"/>
      </rPr>
      <t>=</t>
    </r>
  </si>
  <si>
    <r>
      <t>g</t>
    </r>
    <r>
      <rPr>
        <vertAlign val="subscript"/>
        <sz val="10"/>
        <color theme="0"/>
        <rFont val="Calibri"/>
        <family val="2"/>
        <charset val="186"/>
        <scheme val="minor"/>
      </rPr>
      <t>f,s</t>
    </r>
    <r>
      <rPr>
        <sz val="10"/>
        <color theme="0"/>
        <rFont val="Calibri"/>
        <family val="2"/>
        <charset val="186"/>
        <scheme val="minor"/>
      </rPr>
      <t>=</t>
    </r>
  </si>
  <si>
    <r>
      <t>Slodžu aprēķina vērtības:</t>
    </r>
    <r>
      <rPr>
        <sz val="10"/>
        <color theme="0"/>
        <rFont val="Calibri"/>
        <family val="2"/>
        <charset val="186"/>
        <scheme val="minor"/>
      </rPr>
      <t xml:space="preserve"> pastāvīgā</t>
    </r>
  </si>
  <si>
    <r>
      <t>g</t>
    </r>
    <r>
      <rPr>
        <vertAlign val="subscript"/>
        <sz val="10"/>
        <color theme="0"/>
        <rFont val="Calibri"/>
        <family val="2"/>
        <charset val="186"/>
        <scheme val="minor"/>
      </rPr>
      <t>d</t>
    </r>
    <r>
      <rPr>
        <sz val="10"/>
        <color theme="0"/>
        <rFont val="Calibri"/>
        <family val="2"/>
        <charset val="186"/>
        <scheme val="minor"/>
      </rPr>
      <t>=</t>
    </r>
  </si>
  <si>
    <r>
      <t>g</t>
    </r>
    <r>
      <rPr>
        <vertAlign val="subscript"/>
        <sz val="10"/>
        <color theme="0"/>
        <rFont val="Calibri"/>
        <family val="2"/>
        <charset val="186"/>
        <scheme val="minor"/>
      </rPr>
      <t>d</t>
    </r>
    <r>
      <rPr>
        <b/>
        <vertAlign val="subscript"/>
        <sz val="10"/>
        <color theme="0"/>
        <rFont val="Calibri"/>
        <family val="2"/>
        <charset val="186"/>
        <scheme val="minor"/>
      </rPr>
      <t>,</t>
    </r>
    <r>
      <rPr>
        <vertAlign val="subscript"/>
        <sz val="10"/>
        <color theme="0"/>
        <rFont val="Calibri"/>
        <family val="2"/>
        <charset val="186"/>
        <scheme val="minor"/>
      </rPr>
      <t>90</t>
    </r>
    <r>
      <rPr>
        <sz val="10"/>
        <color theme="0"/>
        <rFont val="Calibri"/>
        <family val="2"/>
        <charset val="186"/>
        <scheme val="minor"/>
      </rPr>
      <t>=</t>
    </r>
  </si>
  <si>
    <r>
      <t>g</t>
    </r>
    <r>
      <rPr>
        <vertAlign val="subscript"/>
        <sz val="10"/>
        <color theme="0"/>
        <rFont val="Calibri"/>
        <family val="2"/>
        <charset val="186"/>
        <scheme val="minor"/>
      </rPr>
      <t>d,0</t>
    </r>
    <r>
      <rPr>
        <sz val="10"/>
        <color theme="0"/>
        <rFont val="Calibri"/>
        <family val="2"/>
        <charset val="186"/>
        <scheme val="minor"/>
      </rPr>
      <t>=</t>
    </r>
  </si>
  <si>
    <r>
      <t>s</t>
    </r>
    <r>
      <rPr>
        <vertAlign val="subscript"/>
        <sz val="10"/>
        <color theme="0"/>
        <rFont val="Calibri"/>
        <family val="2"/>
        <charset val="186"/>
        <scheme val="minor"/>
      </rPr>
      <t>d</t>
    </r>
    <r>
      <rPr>
        <sz val="10"/>
        <color theme="0"/>
        <rFont val="Calibri"/>
        <family val="2"/>
        <charset val="186"/>
        <scheme val="minor"/>
      </rPr>
      <t>=</t>
    </r>
  </si>
  <si>
    <r>
      <t>s</t>
    </r>
    <r>
      <rPr>
        <vertAlign val="subscript"/>
        <sz val="10"/>
        <color theme="0"/>
        <rFont val="Calibri"/>
        <family val="2"/>
        <charset val="186"/>
        <scheme val="minor"/>
      </rPr>
      <t>d,90</t>
    </r>
    <r>
      <rPr>
        <sz val="10"/>
        <color theme="0"/>
        <rFont val="Calibri"/>
        <family val="2"/>
        <charset val="186"/>
        <scheme val="minor"/>
      </rPr>
      <t>=</t>
    </r>
  </si>
  <si>
    <r>
      <t>s</t>
    </r>
    <r>
      <rPr>
        <vertAlign val="subscript"/>
        <sz val="10"/>
        <color theme="0"/>
        <rFont val="Calibri"/>
        <family val="2"/>
        <charset val="186"/>
        <scheme val="minor"/>
      </rPr>
      <t>d,0</t>
    </r>
    <r>
      <rPr>
        <sz val="10"/>
        <color theme="0"/>
        <rFont val="Calibri"/>
        <family val="2"/>
        <charset val="186"/>
        <scheme val="minor"/>
      </rPr>
      <t>=</t>
    </r>
  </si>
  <si>
    <r>
      <t>w</t>
    </r>
    <r>
      <rPr>
        <vertAlign val="subscript"/>
        <sz val="10"/>
        <color theme="0"/>
        <rFont val="Calibri"/>
        <family val="2"/>
        <charset val="186"/>
        <scheme val="minor"/>
      </rPr>
      <t>d</t>
    </r>
    <r>
      <rPr>
        <sz val="10"/>
        <color theme="0"/>
        <rFont val="Calibri"/>
        <family val="2"/>
        <charset val="186"/>
        <scheme val="minor"/>
      </rPr>
      <t>=</t>
    </r>
  </si>
  <si>
    <r>
      <t>w</t>
    </r>
    <r>
      <rPr>
        <vertAlign val="subscript"/>
        <sz val="10"/>
        <color theme="0"/>
        <rFont val="Calibri"/>
        <family val="2"/>
        <charset val="186"/>
        <scheme val="minor"/>
      </rPr>
      <t>d,s</t>
    </r>
    <r>
      <rPr>
        <sz val="10"/>
        <color theme="0"/>
        <rFont val="Calibri"/>
        <family val="2"/>
        <charset val="186"/>
        <scheme val="minor"/>
      </rPr>
      <t>=</t>
    </r>
  </si>
  <si>
    <r>
      <t>y</t>
    </r>
    <r>
      <rPr>
        <vertAlign val="subscript"/>
        <sz val="10"/>
        <color theme="0"/>
        <rFont val="Calibri"/>
        <family val="2"/>
        <charset val="186"/>
        <scheme val="minor"/>
      </rPr>
      <t>o,s</t>
    </r>
    <r>
      <rPr>
        <sz val="10"/>
        <color theme="0"/>
        <rFont val="Calibri"/>
        <family val="2"/>
        <charset val="186"/>
        <scheme val="minor"/>
      </rPr>
      <t>=</t>
    </r>
  </si>
  <si>
    <r>
      <t>y</t>
    </r>
    <r>
      <rPr>
        <vertAlign val="subscript"/>
        <sz val="10"/>
        <color theme="0"/>
        <rFont val="Calibri"/>
        <family val="2"/>
        <charset val="186"/>
        <scheme val="minor"/>
      </rPr>
      <t>o,w</t>
    </r>
    <r>
      <rPr>
        <sz val="10"/>
        <color theme="0"/>
        <rFont val="Calibri"/>
        <family val="2"/>
        <charset val="186"/>
        <scheme val="minor"/>
      </rPr>
      <t>=</t>
    </r>
  </si>
  <si>
    <r>
      <t>x</t>
    </r>
    <r>
      <rPr>
        <vertAlign val="subscript"/>
        <sz val="10"/>
        <color theme="0"/>
        <rFont val="Calibri"/>
        <family val="2"/>
        <charset val="186"/>
        <scheme val="minor"/>
      </rPr>
      <t>o</t>
    </r>
    <r>
      <rPr>
        <sz val="10"/>
        <color theme="0"/>
        <rFont val="Calibri"/>
        <family val="2"/>
        <charset val="186"/>
        <scheme val="minor"/>
      </rPr>
      <t>=</t>
    </r>
  </si>
  <si>
    <r>
      <t>Lieces momenti no pastāvīgās slodzes:</t>
    </r>
    <r>
      <rPr>
        <sz val="10"/>
        <color theme="0"/>
        <rFont val="Calibri"/>
        <family val="2"/>
        <charset val="186"/>
        <scheme val="minor"/>
      </rPr>
      <t xml:space="preserve"> max laidumā</t>
    </r>
  </si>
  <si>
    <r>
      <t>M</t>
    </r>
    <r>
      <rPr>
        <vertAlign val="subscript"/>
        <sz val="10"/>
        <color theme="0"/>
        <rFont val="Calibri"/>
        <family val="2"/>
        <charset val="186"/>
        <scheme val="minor"/>
      </rPr>
      <t>d,g,L</t>
    </r>
    <r>
      <rPr>
        <sz val="10"/>
        <color theme="0"/>
        <rFont val="Calibri"/>
        <family val="2"/>
        <charset val="186"/>
        <scheme val="minor"/>
      </rPr>
      <t>=</t>
    </r>
  </si>
  <si>
    <r>
      <t>M</t>
    </r>
    <r>
      <rPr>
        <vertAlign val="subscript"/>
        <sz val="10"/>
        <color theme="0"/>
        <rFont val="Calibri"/>
        <family val="2"/>
        <charset val="186"/>
        <scheme val="minor"/>
      </rPr>
      <t>d,g,c</t>
    </r>
    <r>
      <rPr>
        <sz val="10"/>
        <color theme="0"/>
        <rFont val="Calibri"/>
        <family val="2"/>
        <charset val="186"/>
        <scheme val="minor"/>
      </rPr>
      <t>=</t>
    </r>
  </si>
  <si>
    <r>
      <t>Lieces momenti no sniega slodzes:</t>
    </r>
    <r>
      <rPr>
        <sz val="10"/>
        <color theme="0"/>
        <rFont val="Calibri"/>
        <family val="2"/>
        <charset val="186"/>
        <scheme val="minor"/>
      </rPr>
      <t xml:space="preserve"> max laidumā</t>
    </r>
  </si>
  <si>
    <r>
      <t>M</t>
    </r>
    <r>
      <rPr>
        <vertAlign val="subscript"/>
        <sz val="10"/>
        <color theme="0"/>
        <rFont val="Calibri"/>
        <family val="2"/>
        <charset val="186"/>
        <scheme val="minor"/>
      </rPr>
      <t>d,s,L</t>
    </r>
    <r>
      <rPr>
        <sz val="10"/>
        <color theme="0"/>
        <rFont val="Calibri"/>
        <family val="2"/>
        <charset val="186"/>
        <scheme val="minor"/>
      </rPr>
      <t>=</t>
    </r>
  </si>
  <si>
    <r>
      <t>M</t>
    </r>
    <r>
      <rPr>
        <vertAlign val="subscript"/>
        <sz val="10"/>
        <color theme="0"/>
        <rFont val="Calibri"/>
        <family val="2"/>
        <charset val="186"/>
        <scheme val="minor"/>
      </rPr>
      <t>d,s,c</t>
    </r>
    <r>
      <rPr>
        <sz val="10"/>
        <color theme="0"/>
        <rFont val="Calibri"/>
        <family val="2"/>
        <charset val="186"/>
        <scheme val="minor"/>
      </rPr>
      <t>=</t>
    </r>
  </si>
  <si>
    <r>
      <t>Lieces momenti no vēja spiediena:</t>
    </r>
    <r>
      <rPr>
        <sz val="10"/>
        <color theme="0"/>
        <rFont val="Calibri"/>
        <family val="2"/>
        <charset val="186"/>
        <scheme val="minor"/>
      </rPr>
      <t xml:space="preserve"> max laidumā</t>
    </r>
  </si>
  <si>
    <r>
      <t>M</t>
    </r>
    <r>
      <rPr>
        <vertAlign val="subscript"/>
        <sz val="10"/>
        <color theme="0"/>
        <rFont val="Calibri"/>
        <family val="2"/>
        <charset val="186"/>
        <scheme val="minor"/>
      </rPr>
      <t>d,w,L</t>
    </r>
    <r>
      <rPr>
        <sz val="10"/>
        <color theme="0"/>
        <rFont val="Calibri"/>
        <family val="2"/>
        <charset val="186"/>
        <scheme val="minor"/>
      </rPr>
      <t>=</t>
    </r>
  </si>
  <si>
    <r>
      <t>M</t>
    </r>
    <r>
      <rPr>
        <vertAlign val="subscript"/>
        <sz val="10"/>
        <color theme="0"/>
        <rFont val="Calibri"/>
        <family val="2"/>
        <charset val="186"/>
        <scheme val="minor"/>
      </rPr>
      <t>d,w,c</t>
    </r>
    <r>
      <rPr>
        <sz val="10"/>
        <color theme="0"/>
        <rFont val="Calibri"/>
        <family val="2"/>
        <charset val="186"/>
        <scheme val="minor"/>
      </rPr>
      <t>=</t>
    </r>
  </si>
  <si>
    <r>
      <t>Lieces momenti no vēja sūces:</t>
    </r>
    <r>
      <rPr>
        <sz val="10"/>
        <color theme="0"/>
        <rFont val="Calibri"/>
        <family val="2"/>
        <charset val="186"/>
        <scheme val="minor"/>
      </rPr>
      <t xml:space="preserve">  minimālais laidumā</t>
    </r>
  </si>
  <si>
    <r>
      <t>M</t>
    </r>
    <r>
      <rPr>
        <vertAlign val="subscript"/>
        <sz val="10"/>
        <color theme="0"/>
        <rFont val="Calibri"/>
        <family val="2"/>
        <charset val="186"/>
        <scheme val="minor"/>
      </rPr>
      <t>d,ws,L</t>
    </r>
    <r>
      <rPr>
        <sz val="10"/>
        <color theme="0"/>
        <rFont val="Calibri"/>
        <family val="2"/>
        <charset val="186"/>
        <scheme val="minor"/>
      </rPr>
      <t>=</t>
    </r>
  </si>
  <si>
    <r>
      <t>M</t>
    </r>
    <r>
      <rPr>
        <vertAlign val="subscript"/>
        <sz val="10"/>
        <color theme="0"/>
        <rFont val="Calibri"/>
        <family val="2"/>
        <charset val="186"/>
        <scheme val="minor"/>
      </rPr>
      <t>d,ws,c</t>
    </r>
    <r>
      <rPr>
        <sz val="10"/>
        <color theme="0"/>
        <rFont val="Calibri"/>
        <family val="2"/>
        <charset val="186"/>
        <scheme val="minor"/>
      </rPr>
      <t>=</t>
    </r>
  </si>
  <si>
    <r>
      <t>Šķērsspēki:</t>
    </r>
    <r>
      <rPr>
        <sz val="10"/>
        <color theme="0"/>
        <rFont val="Calibri"/>
        <family val="2"/>
        <charset val="186"/>
        <scheme val="minor"/>
      </rPr>
      <t xml:space="preserve"> no pastāvīgās slodzes dzegas šķēlumā</t>
    </r>
  </si>
  <si>
    <r>
      <t>Q</t>
    </r>
    <r>
      <rPr>
        <vertAlign val="subscript"/>
        <sz val="10"/>
        <color theme="0"/>
        <rFont val="Calibri"/>
        <family val="2"/>
        <charset val="186"/>
        <scheme val="minor"/>
      </rPr>
      <t>d,g</t>
    </r>
    <r>
      <rPr>
        <sz val="10"/>
        <color theme="0"/>
        <rFont val="Calibri"/>
        <family val="2"/>
        <charset val="186"/>
        <scheme val="minor"/>
      </rPr>
      <t>=</t>
    </r>
  </si>
  <si>
    <r>
      <t>Q</t>
    </r>
    <r>
      <rPr>
        <vertAlign val="subscript"/>
        <sz val="10"/>
        <color theme="0"/>
        <rFont val="Calibri"/>
        <family val="2"/>
        <charset val="186"/>
        <scheme val="minor"/>
      </rPr>
      <t>d,s</t>
    </r>
    <r>
      <rPr>
        <sz val="10"/>
        <color theme="0"/>
        <rFont val="Calibri"/>
        <family val="2"/>
        <charset val="186"/>
        <scheme val="minor"/>
      </rPr>
      <t>=</t>
    </r>
  </si>
  <si>
    <r>
      <t>Q</t>
    </r>
    <r>
      <rPr>
        <vertAlign val="subscript"/>
        <sz val="10"/>
        <color theme="0"/>
        <rFont val="Calibri"/>
        <family val="2"/>
        <charset val="186"/>
        <scheme val="minor"/>
      </rPr>
      <t>d,w</t>
    </r>
    <r>
      <rPr>
        <sz val="10"/>
        <color theme="0"/>
        <rFont val="Calibri"/>
        <family val="2"/>
        <charset val="186"/>
        <scheme val="minor"/>
      </rPr>
      <t>=</t>
    </r>
  </si>
  <si>
    <r>
      <t>V</t>
    </r>
    <r>
      <rPr>
        <vertAlign val="subscript"/>
        <sz val="10"/>
        <color theme="0"/>
        <rFont val="Calibri"/>
        <family val="2"/>
        <charset val="186"/>
        <scheme val="minor"/>
      </rPr>
      <t>d,ws</t>
    </r>
    <r>
      <rPr>
        <sz val="10"/>
        <color theme="0"/>
        <rFont val="Calibri"/>
        <family val="2"/>
        <charset val="186"/>
        <scheme val="minor"/>
      </rPr>
      <t>=</t>
    </r>
  </si>
  <si>
    <r>
      <t>V</t>
    </r>
    <r>
      <rPr>
        <vertAlign val="subscript"/>
        <sz val="10"/>
        <color theme="0"/>
        <rFont val="Calibri"/>
        <family val="2"/>
        <charset val="186"/>
        <scheme val="minor"/>
      </rPr>
      <t>d.gmin</t>
    </r>
    <r>
      <rPr>
        <sz val="10"/>
        <color theme="0"/>
        <rFont val="Calibri"/>
        <family val="2"/>
        <charset val="186"/>
        <scheme val="minor"/>
      </rPr>
      <t>=</t>
    </r>
  </si>
  <si>
    <r>
      <t>F</t>
    </r>
    <r>
      <rPr>
        <vertAlign val="subscript"/>
        <sz val="10"/>
        <color theme="0"/>
        <rFont val="Calibri"/>
        <family val="2"/>
        <charset val="186"/>
        <scheme val="minor"/>
      </rPr>
      <t>Ed</t>
    </r>
    <r>
      <rPr>
        <sz val="10"/>
        <color theme="0"/>
        <rFont val="Calibri"/>
        <family val="2"/>
        <charset val="186"/>
        <scheme val="minor"/>
      </rPr>
      <t>=</t>
    </r>
  </si>
  <si>
    <r>
      <t>M</t>
    </r>
    <r>
      <rPr>
        <vertAlign val="subscript"/>
        <sz val="10"/>
        <color theme="0"/>
        <rFont val="Calibri"/>
        <family val="2"/>
        <charset val="186"/>
        <scheme val="minor"/>
      </rPr>
      <t>d,gs,L</t>
    </r>
    <r>
      <rPr>
        <sz val="10"/>
        <color theme="0"/>
        <rFont val="Calibri"/>
        <family val="2"/>
        <charset val="186"/>
        <scheme val="minor"/>
      </rPr>
      <t>=</t>
    </r>
  </si>
  <si>
    <r>
      <t>M</t>
    </r>
    <r>
      <rPr>
        <vertAlign val="subscript"/>
        <sz val="10"/>
        <color theme="0"/>
        <rFont val="Calibri"/>
        <family val="2"/>
        <charset val="186"/>
        <scheme val="minor"/>
      </rPr>
      <t>d,gs,c</t>
    </r>
    <r>
      <rPr>
        <sz val="10"/>
        <color theme="0"/>
        <rFont val="Calibri"/>
        <family val="2"/>
        <charset val="186"/>
        <scheme val="minor"/>
      </rPr>
      <t>=</t>
    </r>
  </si>
  <si>
    <r>
      <t>pastāvīgā + vēja spiediens + y</t>
    </r>
    <r>
      <rPr>
        <vertAlign val="subscript"/>
        <sz val="10"/>
        <color theme="0"/>
        <rFont val="Calibri"/>
        <family val="2"/>
        <charset val="186"/>
        <scheme val="minor"/>
      </rPr>
      <t>0</t>
    </r>
    <r>
      <rPr>
        <sz val="10"/>
        <color theme="0"/>
        <rFont val="Calibri"/>
        <family val="2"/>
        <charset val="186"/>
        <scheme val="minor"/>
      </rPr>
      <t xml:space="preserve"> x sniega slodze</t>
    </r>
  </si>
  <si>
    <r>
      <t>M</t>
    </r>
    <r>
      <rPr>
        <vertAlign val="subscript"/>
        <sz val="10"/>
        <color theme="0"/>
        <rFont val="Calibri"/>
        <family val="2"/>
        <charset val="186"/>
        <scheme val="minor"/>
      </rPr>
      <t>d,gws,L</t>
    </r>
    <r>
      <rPr>
        <sz val="10"/>
        <color theme="0"/>
        <rFont val="Calibri"/>
        <family val="2"/>
        <charset val="186"/>
        <scheme val="minor"/>
      </rPr>
      <t>=</t>
    </r>
  </si>
  <si>
    <r>
      <t>M</t>
    </r>
    <r>
      <rPr>
        <vertAlign val="subscript"/>
        <sz val="10"/>
        <color theme="0"/>
        <rFont val="Calibri"/>
        <family val="2"/>
        <charset val="186"/>
        <scheme val="minor"/>
      </rPr>
      <t>d,gws,c</t>
    </r>
    <r>
      <rPr>
        <sz val="10"/>
        <color theme="0"/>
        <rFont val="Calibri"/>
        <family val="2"/>
        <charset val="186"/>
        <scheme val="minor"/>
      </rPr>
      <t>=</t>
    </r>
  </si>
  <si>
    <r>
      <t>pastāvīgā + sniega + y</t>
    </r>
    <r>
      <rPr>
        <vertAlign val="subscript"/>
        <sz val="10"/>
        <color theme="0"/>
        <rFont val="Calibri"/>
        <family val="2"/>
        <charset val="186"/>
        <scheme val="minor"/>
      </rPr>
      <t>0</t>
    </r>
    <r>
      <rPr>
        <sz val="10"/>
        <color theme="0"/>
        <rFont val="Calibri"/>
        <family val="2"/>
        <charset val="186"/>
        <scheme val="minor"/>
      </rPr>
      <t>x vēja spiediens: laidumā</t>
    </r>
  </si>
  <si>
    <r>
      <t>M</t>
    </r>
    <r>
      <rPr>
        <vertAlign val="subscript"/>
        <sz val="10"/>
        <color theme="0"/>
        <rFont val="Calibri"/>
        <family val="2"/>
        <charset val="186"/>
        <scheme val="minor"/>
      </rPr>
      <t>d,gsw,L</t>
    </r>
    <r>
      <rPr>
        <sz val="10"/>
        <color theme="0"/>
        <rFont val="Calibri"/>
        <family val="2"/>
        <charset val="186"/>
        <scheme val="minor"/>
      </rPr>
      <t>=</t>
    </r>
  </si>
  <si>
    <r>
      <t>M</t>
    </r>
    <r>
      <rPr>
        <vertAlign val="subscript"/>
        <sz val="10"/>
        <color theme="0"/>
        <rFont val="Calibri"/>
        <family val="2"/>
        <charset val="186"/>
        <scheme val="minor"/>
      </rPr>
      <t>d,gsw,c</t>
    </r>
    <r>
      <rPr>
        <sz val="10"/>
        <color theme="0"/>
        <rFont val="Calibri"/>
        <family val="2"/>
        <charset val="186"/>
        <scheme val="minor"/>
      </rPr>
      <t>=</t>
    </r>
  </si>
  <si>
    <r>
      <t>M</t>
    </r>
    <r>
      <rPr>
        <vertAlign val="subscript"/>
        <sz val="10"/>
        <color theme="0"/>
        <rFont val="Calibri"/>
        <family val="2"/>
        <charset val="186"/>
        <scheme val="minor"/>
      </rPr>
      <t>d,gw,L</t>
    </r>
    <r>
      <rPr>
        <sz val="10"/>
        <color theme="0"/>
        <rFont val="Calibri"/>
        <family val="2"/>
        <charset val="186"/>
        <scheme val="minor"/>
      </rPr>
      <t>=</t>
    </r>
  </si>
  <si>
    <r>
      <t>M</t>
    </r>
    <r>
      <rPr>
        <vertAlign val="subscript"/>
        <sz val="10"/>
        <color theme="0"/>
        <rFont val="Calibri"/>
        <family val="2"/>
        <charset val="186"/>
        <scheme val="minor"/>
      </rPr>
      <t>d,gw,c</t>
    </r>
    <r>
      <rPr>
        <sz val="10"/>
        <color theme="0"/>
        <rFont val="Calibri"/>
        <family val="2"/>
        <charset val="186"/>
        <scheme val="minor"/>
      </rPr>
      <t>=</t>
    </r>
  </si>
  <si>
    <r>
      <t>Šķērsspēki slodžu kombinācijās:</t>
    </r>
    <r>
      <rPr>
        <sz val="10"/>
        <color theme="0"/>
        <rFont val="Calibri"/>
        <family val="2"/>
        <charset val="186"/>
        <scheme val="minor"/>
      </rPr>
      <t xml:space="preserve">   g</t>
    </r>
    <r>
      <rPr>
        <vertAlign val="subscript"/>
        <sz val="10"/>
        <color theme="0"/>
        <rFont val="Calibri"/>
        <family val="2"/>
        <charset val="186"/>
        <scheme val="minor"/>
      </rPr>
      <t>d</t>
    </r>
    <r>
      <rPr>
        <sz val="10"/>
        <color theme="0"/>
        <rFont val="Calibri"/>
        <family val="2"/>
        <charset val="186"/>
        <scheme val="minor"/>
      </rPr>
      <t xml:space="preserve"> </t>
    </r>
    <r>
      <rPr>
        <b/>
        <i/>
        <sz val="10"/>
        <color theme="0"/>
        <rFont val="Calibri"/>
        <family val="2"/>
        <charset val="186"/>
        <scheme val="minor"/>
      </rPr>
      <t xml:space="preserve">+ </t>
    </r>
    <r>
      <rPr>
        <sz val="10"/>
        <color theme="0"/>
        <rFont val="Calibri"/>
        <family val="2"/>
        <charset val="186"/>
        <scheme val="minor"/>
      </rPr>
      <t>s</t>
    </r>
    <r>
      <rPr>
        <vertAlign val="subscript"/>
        <sz val="10"/>
        <color theme="0"/>
        <rFont val="Calibri"/>
        <family val="2"/>
        <charset val="186"/>
        <scheme val="minor"/>
      </rPr>
      <t>d</t>
    </r>
  </si>
  <si>
    <r>
      <t>Q</t>
    </r>
    <r>
      <rPr>
        <vertAlign val="subscript"/>
        <sz val="10"/>
        <color theme="0"/>
        <rFont val="Calibri"/>
        <family val="2"/>
        <charset val="186"/>
        <scheme val="minor"/>
      </rPr>
      <t>d,gs</t>
    </r>
    <r>
      <rPr>
        <sz val="10"/>
        <color theme="0"/>
        <rFont val="Calibri"/>
        <family val="2"/>
        <charset val="186"/>
        <scheme val="minor"/>
      </rPr>
      <t>=</t>
    </r>
  </si>
  <si>
    <r>
      <t>g</t>
    </r>
    <r>
      <rPr>
        <vertAlign val="subscript"/>
        <sz val="10"/>
        <color theme="0"/>
        <rFont val="Calibri"/>
        <family val="2"/>
        <charset val="186"/>
        <scheme val="minor"/>
      </rPr>
      <t xml:space="preserve">d </t>
    </r>
    <r>
      <rPr>
        <sz val="10"/>
        <color theme="0"/>
        <rFont val="Calibri"/>
        <family val="2"/>
        <charset val="186"/>
        <scheme val="minor"/>
      </rPr>
      <t>+ w</t>
    </r>
    <r>
      <rPr>
        <vertAlign val="subscript"/>
        <sz val="10"/>
        <color theme="0"/>
        <rFont val="Calibri"/>
        <family val="2"/>
        <charset val="186"/>
        <scheme val="minor"/>
      </rPr>
      <t xml:space="preserve">d </t>
    </r>
    <r>
      <rPr>
        <sz val="10"/>
        <color theme="0"/>
        <rFont val="Calibri"/>
        <family val="2"/>
        <charset val="186"/>
        <scheme val="minor"/>
      </rPr>
      <t>+ Ψ</t>
    </r>
    <r>
      <rPr>
        <vertAlign val="subscript"/>
        <sz val="10"/>
        <color theme="0"/>
        <rFont val="Calibri"/>
        <family val="2"/>
        <charset val="186"/>
        <scheme val="minor"/>
      </rPr>
      <t xml:space="preserve">0,S </t>
    </r>
    <r>
      <rPr>
        <sz val="10"/>
        <color theme="0"/>
        <rFont val="Calibri"/>
        <family val="2"/>
        <charset val="186"/>
        <scheme val="minor"/>
      </rPr>
      <t>s</t>
    </r>
    <r>
      <rPr>
        <vertAlign val="subscript"/>
        <sz val="10"/>
        <color theme="0"/>
        <rFont val="Calibri"/>
        <family val="2"/>
        <charset val="186"/>
        <scheme val="minor"/>
      </rPr>
      <t>d</t>
    </r>
  </si>
  <si>
    <r>
      <t>Q</t>
    </r>
    <r>
      <rPr>
        <vertAlign val="subscript"/>
        <sz val="10"/>
        <color theme="0"/>
        <rFont val="Calibri"/>
        <family val="2"/>
        <charset val="186"/>
        <scheme val="minor"/>
      </rPr>
      <t>d,gws</t>
    </r>
    <r>
      <rPr>
        <sz val="10"/>
        <color theme="0"/>
        <rFont val="Calibri"/>
        <family val="2"/>
        <charset val="186"/>
        <scheme val="minor"/>
      </rPr>
      <t>=</t>
    </r>
  </si>
  <si>
    <r>
      <t>g</t>
    </r>
    <r>
      <rPr>
        <vertAlign val="subscript"/>
        <sz val="10"/>
        <color theme="0"/>
        <rFont val="Calibri"/>
        <family val="2"/>
        <charset val="186"/>
        <scheme val="minor"/>
      </rPr>
      <t xml:space="preserve">d </t>
    </r>
    <r>
      <rPr>
        <sz val="10"/>
        <color theme="0"/>
        <rFont val="Calibri"/>
        <family val="2"/>
        <charset val="186"/>
        <scheme val="minor"/>
      </rPr>
      <t>+ s</t>
    </r>
    <r>
      <rPr>
        <vertAlign val="subscript"/>
        <sz val="10"/>
        <color theme="0"/>
        <rFont val="Calibri"/>
        <family val="2"/>
        <charset val="186"/>
        <scheme val="minor"/>
      </rPr>
      <t xml:space="preserve">d </t>
    </r>
    <r>
      <rPr>
        <sz val="10"/>
        <color theme="0"/>
        <rFont val="Calibri"/>
        <family val="2"/>
        <charset val="186"/>
        <scheme val="minor"/>
      </rPr>
      <t>+ Ψ</t>
    </r>
    <r>
      <rPr>
        <vertAlign val="subscript"/>
        <sz val="10"/>
        <color theme="0"/>
        <rFont val="Calibri"/>
        <family val="2"/>
        <charset val="186"/>
        <scheme val="minor"/>
      </rPr>
      <t xml:space="preserve">0,s </t>
    </r>
    <r>
      <rPr>
        <sz val="10"/>
        <color theme="0"/>
        <rFont val="Calibri"/>
        <family val="2"/>
        <charset val="186"/>
        <scheme val="minor"/>
      </rPr>
      <t>w</t>
    </r>
    <r>
      <rPr>
        <vertAlign val="subscript"/>
        <sz val="10"/>
        <color theme="0"/>
        <rFont val="Calibri"/>
        <family val="2"/>
        <charset val="186"/>
        <scheme val="minor"/>
      </rPr>
      <t>d</t>
    </r>
  </si>
  <si>
    <r>
      <t>Q</t>
    </r>
    <r>
      <rPr>
        <vertAlign val="subscript"/>
        <sz val="10"/>
        <color theme="0"/>
        <rFont val="Calibri"/>
        <family val="2"/>
        <charset val="186"/>
        <scheme val="minor"/>
      </rPr>
      <t>d,gsw</t>
    </r>
    <r>
      <rPr>
        <sz val="10"/>
        <color theme="0"/>
        <rFont val="Calibri"/>
        <family val="2"/>
        <charset val="186"/>
        <scheme val="minor"/>
      </rPr>
      <t>=</t>
    </r>
  </si>
  <si>
    <r>
      <t>Ass spēks no g</t>
    </r>
    <r>
      <rPr>
        <vertAlign val="subscript"/>
        <sz val="10"/>
        <color theme="0"/>
        <rFont val="Calibri"/>
        <family val="2"/>
        <charset val="186"/>
        <scheme val="minor"/>
      </rPr>
      <t xml:space="preserve">d </t>
    </r>
    <r>
      <rPr>
        <sz val="10"/>
        <color theme="0"/>
        <rFont val="Calibri"/>
        <family val="2"/>
        <charset val="186"/>
        <scheme val="minor"/>
      </rPr>
      <t>+ s</t>
    </r>
    <r>
      <rPr>
        <vertAlign val="subscript"/>
        <sz val="10"/>
        <color theme="0"/>
        <rFont val="Calibri"/>
        <family val="2"/>
        <charset val="186"/>
        <scheme val="minor"/>
      </rPr>
      <t>d</t>
    </r>
  </si>
  <si>
    <r>
      <t>N</t>
    </r>
    <r>
      <rPr>
        <vertAlign val="subscript"/>
        <sz val="10"/>
        <color theme="0"/>
        <rFont val="Calibri"/>
        <family val="2"/>
        <charset val="186"/>
        <scheme val="minor"/>
      </rPr>
      <t>d</t>
    </r>
    <r>
      <rPr>
        <sz val="10"/>
        <color theme="0"/>
        <rFont val="Calibri"/>
        <family val="2"/>
        <charset val="186"/>
        <scheme val="minor"/>
      </rPr>
      <t>=</t>
    </r>
  </si>
  <si>
    <r>
      <t>Materiāla pretestības raksturvērtības:</t>
    </r>
    <r>
      <rPr>
        <sz val="10"/>
        <color theme="0"/>
        <rFont val="Calibri"/>
        <family val="2"/>
        <charset val="186"/>
        <scheme val="minor"/>
      </rPr>
      <t xml:space="preserve"> liecē</t>
    </r>
  </si>
  <si>
    <r>
      <t>f</t>
    </r>
    <r>
      <rPr>
        <vertAlign val="subscript"/>
        <sz val="10"/>
        <color theme="0"/>
        <rFont val="Calibri"/>
        <family val="2"/>
        <charset val="186"/>
        <scheme val="minor"/>
      </rPr>
      <t>m,k</t>
    </r>
    <r>
      <rPr>
        <sz val="10"/>
        <color theme="0"/>
        <rFont val="Calibri"/>
        <family val="2"/>
        <charset val="186"/>
        <scheme val="minor"/>
      </rPr>
      <t>=</t>
    </r>
  </si>
  <si>
    <r>
      <t>kN/cm</t>
    </r>
    <r>
      <rPr>
        <vertAlign val="superscript"/>
        <sz val="10"/>
        <color theme="0"/>
        <rFont val="Calibri"/>
        <family val="2"/>
        <charset val="186"/>
        <scheme val="minor"/>
      </rPr>
      <t>2</t>
    </r>
  </si>
  <si>
    <r>
      <t>f</t>
    </r>
    <r>
      <rPr>
        <vertAlign val="subscript"/>
        <sz val="10"/>
        <color theme="0"/>
        <rFont val="Calibri"/>
        <family val="2"/>
        <charset val="186"/>
        <scheme val="minor"/>
      </rPr>
      <t>v,k</t>
    </r>
    <r>
      <rPr>
        <sz val="10"/>
        <color theme="0"/>
        <rFont val="Calibri"/>
        <family val="2"/>
        <charset val="186"/>
        <scheme val="minor"/>
      </rPr>
      <t>=</t>
    </r>
  </si>
  <si>
    <r>
      <t>f</t>
    </r>
    <r>
      <rPr>
        <vertAlign val="subscript"/>
        <sz val="10"/>
        <color theme="0"/>
        <rFont val="Calibri"/>
        <family val="2"/>
        <charset val="186"/>
        <scheme val="minor"/>
      </rPr>
      <t>c,0,k</t>
    </r>
    <r>
      <rPr>
        <sz val="10"/>
        <color theme="0"/>
        <rFont val="Calibri"/>
        <family val="2"/>
        <charset val="186"/>
        <scheme val="minor"/>
      </rPr>
      <t>=</t>
    </r>
  </si>
  <si>
    <r>
      <t>f</t>
    </r>
    <r>
      <rPr>
        <vertAlign val="subscript"/>
        <sz val="10"/>
        <color theme="0"/>
        <rFont val="Calibri"/>
        <family val="2"/>
        <charset val="186"/>
        <scheme val="minor"/>
      </rPr>
      <t>c,90,k</t>
    </r>
    <r>
      <rPr>
        <sz val="10"/>
        <color theme="0"/>
        <rFont val="Calibri"/>
        <family val="2"/>
        <charset val="186"/>
        <scheme val="minor"/>
      </rPr>
      <t>=</t>
    </r>
  </si>
  <si>
    <r>
      <t>Modifikācijas faktori:</t>
    </r>
    <r>
      <rPr>
        <sz val="10"/>
        <color theme="0"/>
        <rFont val="Calibri"/>
        <family val="2"/>
        <charset val="186"/>
        <scheme val="minor"/>
      </rPr>
      <t xml:space="preserve"> vidēja ilguma slodzei</t>
    </r>
  </si>
  <si>
    <r>
      <t>k</t>
    </r>
    <r>
      <rPr>
        <vertAlign val="subscript"/>
        <sz val="10"/>
        <color theme="0"/>
        <rFont val="Calibri"/>
        <family val="2"/>
        <charset val="186"/>
        <scheme val="minor"/>
      </rPr>
      <t>mod,s</t>
    </r>
    <r>
      <rPr>
        <sz val="10"/>
        <color theme="0"/>
        <rFont val="Calibri"/>
        <family val="2"/>
        <charset val="186"/>
        <scheme val="minor"/>
      </rPr>
      <t>=</t>
    </r>
  </si>
  <si>
    <r>
      <t>k</t>
    </r>
    <r>
      <rPr>
        <vertAlign val="subscript"/>
        <sz val="10"/>
        <color theme="0"/>
        <rFont val="Calibri"/>
        <family val="2"/>
        <charset val="186"/>
        <scheme val="minor"/>
      </rPr>
      <t>mod,w</t>
    </r>
    <r>
      <rPr>
        <sz val="10"/>
        <color theme="0"/>
        <rFont val="Calibri"/>
        <family val="2"/>
        <charset val="186"/>
        <scheme val="minor"/>
      </rPr>
      <t>=</t>
    </r>
  </si>
  <si>
    <r>
      <t>k</t>
    </r>
    <r>
      <rPr>
        <vertAlign val="subscript"/>
        <sz val="10"/>
        <color theme="0"/>
        <rFont val="Calibri"/>
        <family val="2"/>
        <charset val="186"/>
        <scheme val="minor"/>
      </rPr>
      <t>h</t>
    </r>
    <r>
      <rPr>
        <sz val="10"/>
        <color theme="0"/>
        <rFont val="Calibri"/>
        <family val="2"/>
        <charset val="186"/>
        <scheme val="minor"/>
      </rPr>
      <t>=</t>
    </r>
  </si>
  <si>
    <r>
      <t>g</t>
    </r>
    <r>
      <rPr>
        <vertAlign val="subscript"/>
        <sz val="10"/>
        <color theme="0"/>
        <rFont val="Calibri"/>
        <family val="2"/>
        <charset val="186"/>
        <scheme val="minor"/>
      </rPr>
      <t>M</t>
    </r>
    <r>
      <rPr>
        <sz val="10"/>
        <color theme="0"/>
        <rFont val="Calibri"/>
        <family val="2"/>
        <charset val="186"/>
        <scheme val="minor"/>
      </rPr>
      <t>=</t>
    </r>
  </si>
  <si>
    <r>
      <t>Aprēķina pretestības:</t>
    </r>
    <r>
      <rPr>
        <sz val="10"/>
        <color theme="0"/>
        <rFont val="Calibri"/>
        <family val="2"/>
        <charset val="186"/>
        <scheme val="minor"/>
      </rPr>
      <t xml:space="preserve"> liecē pastāvīgās, sniega kombin</t>
    </r>
  </si>
  <si>
    <r>
      <t>f</t>
    </r>
    <r>
      <rPr>
        <vertAlign val="subscript"/>
        <sz val="10"/>
        <color theme="0"/>
        <rFont val="Calibri"/>
        <family val="2"/>
        <charset val="186"/>
        <scheme val="minor"/>
      </rPr>
      <t>m,d,s</t>
    </r>
    <r>
      <rPr>
        <sz val="10"/>
        <color theme="0"/>
        <rFont val="Calibri"/>
        <family val="2"/>
        <charset val="186"/>
        <scheme val="minor"/>
      </rPr>
      <t>=</t>
    </r>
  </si>
  <si>
    <r>
      <t>f</t>
    </r>
    <r>
      <rPr>
        <vertAlign val="subscript"/>
        <sz val="10"/>
        <color theme="0"/>
        <rFont val="Calibri"/>
        <family val="2"/>
        <charset val="186"/>
        <scheme val="minor"/>
      </rPr>
      <t>m,d,w</t>
    </r>
    <r>
      <rPr>
        <sz val="10"/>
        <color theme="0"/>
        <rFont val="Calibri"/>
        <family val="2"/>
        <charset val="186"/>
        <scheme val="minor"/>
      </rPr>
      <t>=</t>
    </r>
  </si>
  <si>
    <r>
      <t>f</t>
    </r>
    <r>
      <rPr>
        <vertAlign val="subscript"/>
        <sz val="10"/>
        <color theme="0"/>
        <rFont val="Calibri"/>
        <family val="2"/>
        <charset val="186"/>
        <scheme val="minor"/>
      </rPr>
      <t>v,d,s</t>
    </r>
    <r>
      <rPr>
        <sz val="10"/>
        <color theme="0"/>
        <rFont val="Calibri"/>
        <family val="2"/>
        <charset val="186"/>
        <scheme val="minor"/>
      </rPr>
      <t>=</t>
    </r>
  </si>
  <si>
    <r>
      <t>f</t>
    </r>
    <r>
      <rPr>
        <vertAlign val="subscript"/>
        <sz val="10"/>
        <color theme="0"/>
        <rFont val="Calibri"/>
        <family val="2"/>
        <charset val="186"/>
        <scheme val="minor"/>
      </rPr>
      <t>v,d,w</t>
    </r>
    <r>
      <rPr>
        <sz val="10"/>
        <color theme="0"/>
        <rFont val="Calibri"/>
        <family val="2"/>
        <charset val="186"/>
        <scheme val="minor"/>
      </rPr>
      <t>=</t>
    </r>
  </si>
  <si>
    <r>
      <t>f</t>
    </r>
    <r>
      <rPr>
        <vertAlign val="subscript"/>
        <sz val="10"/>
        <color theme="0"/>
        <rFont val="Calibri"/>
        <family val="2"/>
        <charset val="186"/>
        <scheme val="minor"/>
      </rPr>
      <t>c,0,d</t>
    </r>
    <r>
      <rPr>
        <sz val="10"/>
        <color theme="0"/>
        <rFont val="Calibri"/>
        <family val="2"/>
        <charset val="186"/>
        <scheme val="minor"/>
      </rPr>
      <t>=</t>
    </r>
  </si>
  <si>
    <r>
      <t>f</t>
    </r>
    <r>
      <rPr>
        <vertAlign val="subscript"/>
        <sz val="10"/>
        <color theme="0"/>
        <rFont val="Calibri"/>
        <family val="2"/>
        <charset val="186"/>
        <scheme val="minor"/>
      </rPr>
      <t>c,90,d</t>
    </r>
    <r>
      <rPr>
        <sz val="10"/>
        <color theme="0"/>
        <rFont val="Calibri"/>
        <family val="2"/>
        <charset val="186"/>
        <scheme val="minor"/>
      </rPr>
      <t>=</t>
    </r>
  </si>
  <si>
    <r>
      <t>Materiāla stinguma moduli:</t>
    </r>
    <r>
      <rPr>
        <sz val="10"/>
        <color theme="0"/>
        <rFont val="Calibri"/>
        <family val="2"/>
        <charset val="186"/>
        <scheme val="minor"/>
      </rPr>
      <t xml:space="preserve"> elastības modulis- vidējais</t>
    </r>
  </si>
  <si>
    <r>
      <t>E</t>
    </r>
    <r>
      <rPr>
        <vertAlign val="subscript"/>
        <sz val="10"/>
        <color theme="0"/>
        <rFont val="Calibri"/>
        <family val="2"/>
        <charset val="186"/>
        <scheme val="minor"/>
      </rPr>
      <t>0,mean</t>
    </r>
    <r>
      <rPr>
        <sz val="10"/>
        <color theme="0"/>
        <rFont val="Calibri"/>
        <family val="2"/>
        <charset val="186"/>
        <scheme val="minor"/>
      </rPr>
      <t>=</t>
    </r>
  </si>
  <si>
    <r>
      <t>E</t>
    </r>
    <r>
      <rPr>
        <vertAlign val="subscript"/>
        <sz val="10"/>
        <color theme="0"/>
        <rFont val="Calibri"/>
        <family val="2"/>
        <charset val="186"/>
        <scheme val="minor"/>
      </rPr>
      <t>0,05</t>
    </r>
    <r>
      <rPr>
        <sz val="10"/>
        <color theme="0"/>
        <rFont val="Calibri"/>
        <family val="2"/>
        <charset val="186"/>
        <scheme val="minor"/>
      </rPr>
      <t>=</t>
    </r>
  </si>
  <si>
    <r>
      <t>k</t>
    </r>
    <r>
      <rPr>
        <vertAlign val="subscript"/>
        <sz val="10"/>
        <color theme="0"/>
        <rFont val="Calibri"/>
        <family val="2"/>
        <charset val="186"/>
        <scheme val="minor"/>
      </rPr>
      <t>def</t>
    </r>
    <r>
      <rPr>
        <sz val="10"/>
        <color theme="0"/>
        <rFont val="Calibri"/>
        <family val="2"/>
        <charset val="186"/>
        <scheme val="minor"/>
      </rPr>
      <t>=</t>
    </r>
  </si>
  <si>
    <r>
      <t>r</t>
    </r>
    <r>
      <rPr>
        <vertAlign val="subscript"/>
        <sz val="10"/>
        <color theme="0"/>
        <rFont val="Calibri"/>
        <family val="2"/>
        <charset val="186"/>
        <scheme val="minor"/>
      </rPr>
      <t>k</t>
    </r>
    <r>
      <rPr>
        <sz val="10"/>
        <color theme="0"/>
        <rFont val="Calibri"/>
        <family val="2"/>
        <charset val="186"/>
        <scheme val="minor"/>
      </rPr>
      <t>=</t>
    </r>
  </si>
  <si>
    <r>
      <t>h</t>
    </r>
    <r>
      <rPr>
        <vertAlign val="subscript"/>
        <sz val="10"/>
        <color theme="0"/>
        <rFont val="Calibri"/>
        <family val="2"/>
        <charset val="186"/>
        <scheme val="minor"/>
      </rPr>
      <t>ef</t>
    </r>
    <r>
      <rPr>
        <sz val="10"/>
        <color theme="0"/>
        <rFont val="Calibri"/>
        <family val="2"/>
        <charset val="186"/>
        <scheme val="minor"/>
      </rPr>
      <t>=</t>
    </r>
  </si>
  <si>
    <r>
      <t>J</t>
    </r>
    <r>
      <rPr>
        <vertAlign val="subscript"/>
        <sz val="10"/>
        <color theme="0"/>
        <rFont val="Calibri"/>
        <family val="2"/>
        <charset val="186"/>
        <scheme val="minor"/>
      </rPr>
      <t>0</t>
    </r>
    <r>
      <rPr>
        <sz val="10"/>
        <color theme="0"/>
        <rFont val="Calibri"/>
        <family val="2"/>
        <charset val="186"/>
        <scheme val="minor"/>
      </rPr>
      <t>=</t>
    </r>
  </si>
  <si>
    <r>
      <t>cm</t>
    </r>
    <r>
      <rPr>
        <vertAlign val="superscript"/>
        <sz val="10"/>
        <color theme="0"/>
        <rFont val="Calibri"/>
        <family val="2"/>
        <charset val="186"/>
        <scheme val="minor"/>
      </rPr>
      <t>4</t>
    </r>
  </si>
  <si>
    <r>
      <t>W</t>
    </r>
    <r>
      <rPr>
        <vertAlign val="subscript"/>
        <sz val="10"/>
        <color theme="0"/>
        <rFont val="Calibri"/>
        <family val="2"/>
        <charset val="186"/>
        <scheme val="minor"/>
      </rPr>
      <t>y,ef</t>
    </r>
    <r>
      <rPr>
        <sz val="10"/>
        <color theme="0"/>
        <rFont val="Calibri"/>
        <family val="2"/>
        <charset val="186"/>
        <scheme val="minor"/>
      </rPr>
      <t>=</t>
    </r>
  </si>
  <si>
    <r>
      <t>cm</t>
    </r>
    <r>
      <rPr>
        <vertAlign val="superscript"/>
        <sz val="10"/>
        <color theme="0"/>
        <rFont val="Calibri"/>
        <family val="2"/>
        <charset val="186"/>
        <scheme val="minor"/>
      </rPr>
      <t>3</t>
    </r>
  </si>
  <si>
    <r>
      <t>A</t>
    </r>
    <r>
      <rPr>
        <vertAlign val="subscript"/>
        <sz val="10"/>
        <color theme="0"/>
        <rFont val="Calibri"/>
        <family val="2"/>
        <charset val="186"/>
        <scheme val="minor"/>
      </rPr>
      <t>s</t>
    </r>
    <r>
      <rPr>
        <sz val="10"/>
        <color theme="0"/>
        <rFont val="Calibri"/>
        <family val="2"/>
        <charset val="186"/>
        <scheme val="minor"/>
      </rPr>
      <t>=</t>
    </r>
  </si>
  <si>
    <r>
      <t>cm</t>
    </r>
    <r>
      <rPr>
        <vertAlign val="superscript"/>
        <sz val="10"/>
        <color theme="0"/>
        <rFont val="Calibri"/>
        <family val="2"/>
        <charset val="186"/>
        <scheme val="minor"/>
      </rPr>
      <t>2</t>
    </r>
  </si>
  <si>
    <r>
      <t>W</t>
    </r>
    <r>
      <rPr>
        <vertAlign val="subscript"/>
        <sz val="10"/>
        <color theme="0"/>
        <rFont val="Calibri"/>
        <family val="2"/>
        <charset val="186"/>
        <scheme val="minor"/>
      </rPr>
      <t>y</t>
    </r>
    <r>
      <rPr>
        <sz val="10"/>
        <color theme="0"/>
        <rFont val="Calibri"/>
        <family val="2"/>
        <charset val="186"/>
        <scheme val="minor"/>
      </rPr>
      <t>=</t>
    </r>
  </si>
  <si>
    <r>
      <t>J</t>
    </r>
    <r>
      <rPr>
        <vertAlign val="subscript"/>
        <sz val="10"/>
        <color theme="0"/>
        <rFont val="Calibri"/>
        <family val="2"/>
        <charset val="186"/>
        <scheme val="minor"/>
      </rPr>
      <t>y</t>
    </r>
    <r>
      <rPr>
        <sz val="10"/>
        <color theme="0"/>
        <rFont val="Calibri"/>
        <family val="2"/>
        <charset val="186"/>
        <scheme val="minor"/>
      </rPr>
      <t>=</t>
    </r>
  </si>
  <si>
    <r>
      <t>J</t>
    </r>
    <r>
      <rPr>
        <vertAlign val="subscript"/>
        <sz val="10"/>
        <color theme="0"/>
        <rFont val="Calibri"/>
        <family val="2"/>
        <charset val="186"/>
        <scheme val="minor"/>
      </rPr>
      <t>z</t>
    </r>
    <r>
      <rPr>
        <sz val="10"/>
        <color theme="0"/>
        <rFont val="Calibri"/>
        <family val="2"/>
        <charset val="186"/>
        <scheme val="minor"/>
      </rPr>
      <t>=</t>
    </r>
  </si>
  <si>
    <r>
      <t xml:space="preserve">Normālspriegumi no </t>
    </r>
    <r>
      <rPr>
        <i/>
        <sz val="10"/>
        <color theme="0"/>
        <rFont val="Calibri"/>
        <family val="2"/>
        <charset val="186"/>
        <scheme val="minor"/>
      </rPr>
      <t>(s</t>
    </r>
    <r>
      <rPr>
        <i/>
        <vertAlign val="subscript"/>
        <sz val="10"/>
        <color theme="0"/>
        <rFont val="Calibri"/>
        <family val="2"/>
        <charset val="186"/>
        <scheme val="minor"/>
      </rPr>
      <t>d</t>
    </r>
    <r>
      <rPr>
        <i/>
        <sz val="10"/>
        <color theme="0"/>
        <rFont val="Calibri"/>
        <family val="2"/>
        <charset val="186"/>
        <scheme val="minor"/>
      </rPr>
      <t xml:space="preserve"> + g</t>
    </r>
    <r>
      <rPr>
        <i/>
        <vertAlign val="subscript"/>
        <sz val="10"/>
        <color theme="0"/>
        <rFont val="Calibri"/>
        <family val="2"/>
        <charset val="186"/>
        <scheme val="minor"/>
      </rPr>
      <t>d</t>
    </r>
    <r>
      <rPr>
        <i/>
        <sz val="10"/>
        <color theme="0"/>
        <rFont val="Calibri"/>
        <family val="2"/>
        <charset val="186"/>
        <scheme val="minor"/>
      </rPr>
      <t xml:space="preserve">) </t>
    </r>
    <r>
      <rPr>
        <sz val="10"/>
        <color theme="0"/>
        <rFont val="Calibri"/>
        <family val="2"/>
        <charset val="186"/>
        <scheme val="minor"/>
      </rPr>
      <t>laidumā</t>
    </r>
  </si>
  <si>
    <r>
      <t>s</t>
    </r>
    <r>
      <rPr>
        <vertAlign val="subscript"/>
        <sz val="10"/>
        <color theme="0"/>
        <rFont val="Calibri"/>
        <family val="2"/>
        <charset val="186"/>
        <scheme val="minor"/>
      </rPr>
      <t>m,d,gs,L</t>
    </r>
    <r>
      <rPr>
        <sz val="10"/>
        <color theme="0"/>
        <rFont val="Calibri"/>
        <family val="2"/>
        <charset val="186"/>
        <scheme val="minor"/>
      </rPr>
      <t>=</t>
    </r>
  </si>
  <si>
    <r>
      <t>c</t>
    </r>
    <r>
      <rPr>
        <vertAlign val="subscript"/>
        <sz val="10"/>
        <color theme="0"/>
        <rFont val="Calibri"/>
        <family val="2"/>
        <charset val="186"/>
        <scheme val="minor"/>
      </rPr>
      <t>s</t>
    </r>
    <r>
      <rPr>
        <sz val="10"/>
        <color theme="0"/>
        <rFont val="Calibri"/>
        <family val="2"/>
        <charset val="186"/>
        <scheme val="minor"/>
      </rPr>
      <t>=</t>
    </r>
  </si>
  <si>
    <r>
      <t xml:space="preserve">Normālspriegumi no </t>
    </r>
    <r>
      <rPr>
        <i/>
        <sz val="10"/>
        <color theme="0"/>
        <rFont val="Calibri"/>
        <family val="2"/>
        <charset val="186"/>
        <scheme val="minor"/>
      </rPr>
      <t>(s</t>
    </r>
    <r>
      <rPr>
        <i/>
        <vertAlign val="subscript"/>
        <sz val="10"/>
        <color theme="0"/>
        <rFont val="Calibri"/>
        <family val="2"/>
        <charset val="186"/>
        <scheme val="minor"/>
      </rPr>
      <t>d</t>
    </r>
    <r>
      <rPr>
        <i/>
        <sz val="10"/>
        <color theme="0"/>
        <rFont val="Calibri"/>
        <family val="2"/>
        <charset val="186"/>
        <scheme val="minor"/>
      </rPr>
      <t xml:space="preserve"> </t>
    </r>
    <r>
      <rPr>
        <sz val="10"/>
        <color theme="0"/>
        <rFont val="Calibri"/>
        <family val="2"/>
        <charset val="186"/>
        <scheme val="minor"/>
      </rPr>
      <t xml:space="preserve">+ </t>
    </r>
    <r>
      <rPr>
        <i/>
        <sz val="10"/>
        <color theme="0"/>
        <rFont val="Calibri"/>
        <family val="2"/>
        <charset val="186"/>
        <scheme val="minor"/>
      </rPr>
      <t>g</t>
    </r>
    <r>
      <rPr>
        <i/>
        <vertAlign val="subscript"/>
        <sz val="10"/>
        <color theme="0"/>
        <rFont val="Calibri"/>
        <family val="2"/>
        <charset val="186"/>
        <scheme val="minor"/>
      </rPr>
      <t>d</t>
    </r>
    <r>
      <rPr>
        <i/>
        <sz val="10"/>
        <color theme="0"/>
        <rFont val="Calibri"/>
        <family val="2"/>
        <charset val="186"/>
        <scheme val="minor"/>
      </rPr>
      <t xml:space="preserve">) </t>
    </r>
    <r>
      <rPr>
        <sz val="10"/>
        <color theme="0"/>
        <rFont val="Calibri"/>
        <family val="2"/>
        <charset val="186"/>
        <scheme val="minor"/>
      </rPr>
      <t>vājinātā šķēlumā</t>
    </r>
  </si>
  <si>
    <r>
      <t>s</t>
    </r>
    <r>
      <rPr>
        <vertAlign val="subscript"/>
        <sz val="10"/>
        <color theme="0"/>
        <rFont val="Calibri"/>
        <family val="2"/>
        <charset val="186"/>
        <scheme val="minor"/>
      </rPr>
      <t>m,d,gs,c</t>
    </r>
    <r>
      <rPr>
        <sz val="10"/>
        <color theme="0"/>
        <rFont val="Calibri"/>
        <family val="2"/>
        <charset val="186"/>
        <scheme val="minor"/>
      </rPr>
      <t>=</t>
    </r>
  </si>
  <si>
    <r>
      <t>s</t>
    </r>
    <r>
      <rPr>
        <vertAlign val="subscript"/>
        <sz val="10"/>
        <color theme="0"/>
        <rFont val="Calibri"/>
        <family val="2"/>
        <charset val="186"/>
        <scheme val="minor"/>
      </rPr>
      <t>m,d,gsw</t>
    </r>
    <r>
      <rPr>
        <sz val="10"/>
        <color theme="0"/>
        <rFont val="Calibri"/>
        <family val="2"/>
        <charset val="186"/>
        <scheme val="minor"/>
      </rPr>
      <t>=</t>
    </r>
  </si>
  <si>
    <r>
      <t>s</t>
    </r>
    <r>
      <rPr>
        <vertAlign val="subscript"/>
        <sz val="10"/>
        <color theme="0"/>
        <rFont val="Calibri"/>
        <family val="2"/>
        <charset val="186"/>
        <scheme val="minor"/>
      </rPr>
      <t>m,d,ef</t>
    </r>
    <r>
      <rPr>
        <sz val="10"/>
        <color theme="0"/>
        <rFont val="Calibri"/>
        <family val="2"/>
        <charset val="186"/>
        <scheme val="minor"/>
      </rPr>
      <t>=</t>
    </r>
  </si>
  <si>
    <r>
      <t xml:space="preserve">Tangenciālspriegumi no </t>
    </r>
    <r>
      <rPr>
        <i/>
        <sz val="10"/>
        <color theme="0"/>
        <rFont val="Calibri"/>
        <family val="2"/>
        <charset val="186"/>
        <scheme val="minor"/>
      </rPr>
      <t>(s</t>
    </r>
    <r>
      <rPr>
        <i/>
        <vertAlign val="subscript"/>
        <sz val="10"/>
        <color theme="0"/>
        <rFont val="Calibri"/>
        <family val="2"/>
        <charset val="186"/>
        <scheme val="minor"/>
      </rPr>
      <t>d</t>
    </r>
    <r>
      <rPr>
        <i/>
        <sz val="10"/>
        <color theme="0"/>
        <rFont val="Calibri"/>
        <family val="2"/>
        <charset val="186"/>
        <scheme val="minor"/>
      </rPr>
      <t xml:space="preserve"> + g</t>
    </r>
    <r>
      <rPr>
        <i/>
        <vertAlign val="subscript"/>
        <sz val="10"/>
        <color theme="0"/>
        <rFont val="Calibri"/>
        <family val="2"/>
        <charset val="186"/>
        <scheme val="minor"/>
      </rPr>
      <t>d</t>
    </r>
    <r>
      <rPr>
        <i/>
        <sz val="10"/>
        <color theme="0"/>
        <rFont val="Calibri"/>
        <family val="2"/>
        <charset val="186"/>
        <scheme val="minor"/>
      </rPr>
      <t>)</t>
    </r>
  </si>
  <si>
    <r>
      <t>t</t>
    </r>
    <r>
      <rPr>
        <vertAlign val="subscript"/>
        <sz val="10"/>
        <color theme="0"/>
        <rFont val="Calibri"/>
        <family val="2"/>
        <charset val="186"/>
        <scheme val="minor"/>
      </rPr>
      <t>d,s</t>
    </r>
    <r>
      <rPr>
        <sz val="10"/>
        <color theme="0"/>
        <rFont val="Calibri"/>
        <family val="2"/>
        <charset val="186"/>
        <scheme val="minor"/>
      </rPr>
      <t>=</t>
    </r>
  </si>
  <si>
    <r>
      <t>t</t>
    </r>
    <r>
      <rPr>
        <vertAlign val="subscript"/>
        <sz val="10"/>
        <color theme="0"/>
        <rFont val="Calibri"/>
        <family val="2"/>
        <charset val="186"/>
        <scheme val="minor"/>
      </rPr>
      <t>d,s,w</t>
    </r>
    <r>
      <rPr>
        <sz val="10"/>
        <color theme="0"/>
        <rFont val="Calibri"/>
        <family val="2"/>
        <charset val="186"/>
        <scheme val="minor"/>
      </rPr>
      <t>=</t>
    </r>
  </si>
  <si>
    <r>
      <t>a</t>
    </r>
    <r>
      <rPr>
        <vertAlign val="subscript"/>
        <sz val="10"/>
        <color theme="0"/>
        <rFont val="Calibri"/>
        <family val="2"/>
        <charset val="186"/>
        <scheme val="minor"/>
      </rPr>
      <t>ef</t>
    </r>
    <r>
      <rPr>
        <sz val="10"/>
        <color theme="0"/>
        <rFont val="Calibri"/>
        <family val="2"/>
        <charset val="186"/>
        <scheme val="minor"/>
      </rPr>
      <t>=</t>
    </r>
  </si>
  <si>
    <r>
      <t>k</t>
    </r>
    <r>
      <rPr>
        <vertAlign val="subscript"/>
        <sz val="10"/>
        <color theme="0"/>
        <rFont val="Calibri"/>
        <family val="2"/>
        <charset val="186"/>
        <scheme val="minor"/>
      </rPr>
      <t>n</t>
    </r>
    <r>
      <rPr>
        <sz val="10"/>
        <color theme="0"/>
        <rFont val="Calibri"/>
        <family val="2"/>
        <charset val="186"/>
        <scheme val="minor"/>
      </rPr>
      <t>=</t>
    </r>
  </si>
  <si>
    <r>
      <t>k</t>
    </r>
    <r>
      <rPr>
        <vertAlign val="subscript"/>
        <sz val="10"/>
        <color theme="0"/>
        <rFont val="Calibri"/>
        <family val="2"/>
        <charset val="186"/>
        <scheme val="minor"/>
      </rPr>
      <t>v</t>
    </r>
    <r>
      <rPr>
        <sz val="10"/>
        <color theme="0"/>
        <rFont val="Calibri"/>
        <family val="2"/>
        <charset val="186"/>
        <scheme val="minor"/>
      </rPr>
      <t>=</t>
    </r>
  </si>
  <si>
    <r>
      <t xml:space="preserve">Lokālā spiede atbalstlaukumā: </t>
    </r>
    <r>
      <rPr>
        <sz val="10"/>
        <color theme="0"/>
        <rFont val="Calibri"/>
        <family val="2"/>
        <charset val="186"/>
        <scheme val="minor"/>
      </rPr>
      <t>laukuma garums</t>
    </r>
  </si>
  <si>
    <r>
      <t>l</t>
    </r>
    <r>
      <rPr>
        <vertAlign val="subscript"/>
        <sz val="10"/>
        <color theme="0"/>
        <rFont val="Calibri"/>
        <family val="2"/>
        <charset val="186"/>
        <scheme val="minor"/>
      </rPr>
      <t>b</t>
    </r>
    <r>
      <rPr>
        <sz val="10"/>
        <color theme="0"/>
        <rFont val="Calibri"/>
        <family val="2"/>
        <charset val="186"/>
        <scheme val="minor"/>
      </rPr>
      <t>=</t>
    </r>
  </si>
  <si>
    <r>
      <t>V</t>
    </r>
    <r>
      <rPr>
        <vertAlign val="subscript"/>
        <sz val="10"/>
        <color theme="0"/>
        <rFont val="Calibri"/>
        <family val="2"/>
        <charset val="186"/>
        <scheme val="minor"/>
      </rPr>
      <t>c</t>
    </r>
    <r>
      <rPr>
        <sz val="10"/>
        <color theme="0"/>
        <rFont val="Calibri"/>
        <family val="2"/>
        <charset val="186"/>
        <scheme val="minor"/>
      </rPr>
      <t>=</t>
    </r>
  </si>
  <si>
    <r>
      <t>s</t>
    </r>
    <r>
      <rPr>
        <vertAlign val="subscript"/>
        <sz val="10"/>
        <color theme="0"/>
        <rFont val="Calibri"/>
        <family val="2"/>
        <charset val="186"/>
        <scheme val="minor"/>
      </rPr>
      <t>c,90,d</t>
    </r>
    <r>
      <rPr>
        <sz val="10"/>
        <color theme="0"/>
        <rFont val="Calibri"/>
        <family val="2"/>
        <charset val="186"/>
        <scheme val="minor"/>
      </rPr>
      <t>=</t>
    </r>
  </si>
  <si>
    <r>
      <t>k</t>
    </r>
    <r>
      <rPr>
        <vertAlign val="subscript"/>
        <sz val="10"/>
        <color theme="0"/>
        <rFont val="Calibri"/>
        <family val="2"/>
        <charset val="186"/>
        <scheme val="minor"/>
      </rPr>
      <t>c,90</t>
    </r>
    <r>
      <rPr>
        <sz val="10"/>
        <color theme="0"/>
        <rFont val="Calibri"/>
        <family val="2"/>
        <charset val="186"/>
        <scheme val="minor"/>
      </rPr>
      <t>=</t>
    </r>
  </si>
  <si>
    <r>
      <t>k</t>
    </r>
    <r>
      <rPr>
        <vertAlign val="subscript"/>
        <sz val="10"/>
        <color theme="0"/>
        <rFont val="Calibri"/>
        <family val="2"/>
        <charset val="186"/>
        <scheme val="minor"/>
      </rPr>
      <t>c,90</t>
    </r>
    <r>
      <rPr>
        <sz val="10"/>
        <color theme="0"/>
        <rFont val="Calibri"/>
        <family val="2"/>
        <charset val="186"/>
        <scheme val="minor"/>
      </rPr>
      <t xml:space="preserve"> x f</t>
    </r>
    <r>
      <rPr>
        <vertAlign val="subscript"/>
        <sz val="10"/>
        <color theme="0"/>
        <rFont val="Calibri"/>
        <family val="2"/>
        <charset val="186"/>
        <scheme val="minor"/>
      </rPr>
      <t>c,90,d</t>
    </r>
    <r>
      <rPr>
        <sz val="10"/>
        <color theme="0"/>
        <rFont val="Calibri"/>
        <family val="2"/>
        <charset val="186"/>
        <scheme val="minor"/>
      </rPr>
      <t>=</t>
    </r>
  </si>
  <si>
    <r>
      <t>c</t>
    </r>
    <r>
      <rPr>
        <vertAlign val="subscript"/>
        <sz val="10"/>
        <color theme="0"/>
        <rFont val="Calibri"/>
        <family val="2"/>
        <charset val="186"/>
        <scheme val="minor"/>
      </rPr>
      <t>loc</t>
    </r>
    <r>
      <rPr>
        <sz val="10"/>
        <color theme="0"/>
        <rFont val="Calibri"/>
        <family val="2"/>
        <charset val="186"/>
        <scheme val="minor"/>
      </rPr>
      <t>=</t>
    </r>
  </si>
  <si>
    <r>
      <t>l</t>
    </r>
    <r>
      <rPr>
        <vertAlign val="subscript"/>
        <sz val="10"/>
        <color theme="0"/>
        <rFont val="Calibri"/>
        <family val="2"/>
        <charset val="186"/>
        <scheme val="minor"/>
      </rPr>
      <t>ef,y</t>
    </r>
    <r>
      <rPr>
        <sz val="10"/>
        <color theme="0"/>
        <rFont val="Calibri"/>
        <family val="2"/>
        <charset val="186"/>
        <scheme val="minor"/>
      </rPr>
      <t>=</t>
    </r>
  </si>
  <si>
    <r>
      <t>l</t>
    </r>
    <r>
      <rPr>
        <vertAlign val="subscript"/>
        <sz val="10"/>
        <color theme="0"/>
        <rFont val="Calibri"/>
        <family val="2"/>
        <charset val="186"/>
        <scheme val="minor"/>
      </rPr>
      <t>y</t>
    </r>
    <r>
      <rPr>
        <sz val="10"/>
        <color theme="0"/>
        <rFont val="Calibri"/>
        <family val="2"/>
        <charset val="186"/>
        <scheme val="minor"/>
      </rPr>
      <t>=</t>
    </r>
  </si>
  <si>
    <r>
      <t>l</t>
    </r>
    <r>
      <rPr>
        <vertAlign val="subscript"/>
        <sz val="10"/>
        <color theme="0"/>
        <rFont val="Calibri"/>
        <family val="2"/>
        <charset val="186"/>
        <scheme val="minor"/>
      </rPr>
      <t>rel,y</t>
    </r>
    <r>
      <rPr>
        <sz val="10"/>
        <color theme="0"/>
        <rFont val="Calibri"/>
        <family val="2"/>
        <charset val="186"/>
        <scheme val="minor"/>
      </rPr>
      <t>=</t>
    </r>
  </si>
  <si>
    <r>
      <t>k</t>
    </r>
    <r>
      <rPr>
        <vertAlign val="subscript"/>
        <sz val="10"/>
        <color theme="0"/>
        <rFont val="Calibri"/>
        <family val="2"/>
        <charset val="186"/>
        <scheme val="minor"/>
      </rPr>
      <t>y</t>
    </r>
    <r>
      <rPr>
        <sz val="10"/>
        <color theme="0"/>
        <rFont val="Calibri"/>
        <family val="2"/>
        <charset val="186"/>
        <scheme val="minor"/>
      </rPr>
      <t>=</t>
    </r>
  </si>
  <si>
    <r>
      <t>k</t>
    </r>
    <r>
      <rPr>
        <vertAlign val="subscript"/>
        <sz val="10"/>
        <color theme="0"/>
        <rFont val="Calibri"/>
        <family val="2"/>
        <charset val="186"/>
        <scheme val="minor"/>
      </rPr>
      <t>cy</t>
    </r>
    <r>
      <rPr>
        <sz val="10"/>
        <color theme="0"/>
        <rFont val="Calibri"/>
        <family val="2"/>
        <charset val="186"/>
        <scheme val="minor"/>
      </rPr>
      <t>=</t>
    </r>
  </si>
  <si>
    <r>
      <t>c</t>
    </r>
    <r>
      <rPr>
        <vertAlign val="subscript"/>
        <sz val="10"/>
        <color theme="0"/>
        <rFont val="Calibri"/>
        <family val="2"/>
        <charset val="186"/>
        <scheme val="minor"/>
      </rPr>
      <t>crit</t>
    </r>
    <r>
      <rPr>
        <sz val="10"/>
        <color theme="0"/>
        <rFont val="Calibri"/>
        <family val="2"/>
        <charset val="186"/>
        <scheme val="minor"/>
      </rPr>
      <t>=</t>
    </r>
  </si>
  <si>
    <r>
      <t>Piezīme.</t>
    </r>
    <r>
      <rPr>
        <sz val="10"/>
        <color theme="0"/>
        <rFont val="Calibri"/>
        <family val="2"/>
        <charset val="186"/>
        <scheme val="minor"/>
      </rPr>
      <t xml:space="preserve"> Spāres noturības pārbaude lodzē šķērsām lieces plaknei šajā piemērā nav veikta, jo to nodrošina nelielos attālumos nekustīgi piestiprinātie latojuma elementi</t>
    </r>
  </si>
  <si>
    <r>
      <t>u</t>
    </r>
    <r>
      <rPr>
        <vertAlign val="subscript"/>
        <sz val="10"/>
        <color theme="0"/>
        <rFont val="Calibri"/>
        <family val="2"/>
        <charset val="186"/>
        <scheme val="minor"/>
      </rPr>
      <t>inst,g</t>
    </r>
    <r>
      <rPr>
        <sz val="10"/>
        <color theme="0"/>
        <rFont val="Calibri"/>
        <family val="2"/>
        <charset val="186"/>
        <scheme val="minor"/>
      </rPr>
      <t>=</t>
    </r>
  </si>
  <si>
    <r>
      <t>u</t>
    </r>
    <r>
      <rPr>
        <vertAlign val="subscript"/>
        <sz val="10"/>
        <color theme="0"/>
        <rFont val="Calibri"/>
        <family val="2"/>
        <charset val="186"/>
        <scheme val="minor"/>
      </rPr>
      <t>fin,g</t>
    </r>
    <r>
      <rPr>
        <sz val="10"/>
        <color theme="0"/>
        <rFont val="Calibri"/>
        <family val="2"/>
        <charset val="186"/>
        <scheme val="minor"/>
      </rPr>
      <t>=</t>
    </r>
  </si>
  <si>
    <r>
      <t>u</t>
    </r>
    <r>
      <rPr>
        <vertAlign val="subscript"/>
        <sz val="10"/>
        <color theme="0"/>
        <rFont val="Calibri"/>
        <family val="2"/>
        <charset val="186"/>
        <scheme val="minor"/>
      </rPr>
      <t>inst,q</t>
    </r>
    <r>
      <rPr>
        <sz val="10"/>
        <color theme="0"/>
        <rFont val="Calibri"/>
        <family val="2"/>
        <charset val="186"/>
        <scheme val="minor"/>
      </rPr>
      <t>=</t>
    </r>
  </si>
  <si>
    <r>
      <t>y</t>
    </r>
    <r>
      <rPr>
        <vertAlign val="subscript"/>
        <sz val="10"/>
        <color theme="0"/>
        <rFont val="Calibri"/>
        <family val="2"/>
        <charset val="186"/>
        <scheme val="minor"/>
      </rPr>
      <t>2</t>
    </r>
    <r>
      <rPr>
        <sz val="10"/>
        <color theme="0"/>
        <rFont val="Calibri"/>
        <family val="2"/>
        <charset val="186"/>
        <scheme val="minor"/>
      </rPr>
      <t>=</t>
    </r>
  </si>
  <si>
    <r>
      <t>u</t>
    </r>
    <r>
      <rPr>
        <vertAlign val="subscript"/>
        <sz val="10"/>
        <color theme="0"/>
        <rFont val="Calibri"/>
        <family val="2"/>
        <charset val="186"/>
        <scheme val="minor"/>
      </rPr>
      <t>fin,q</t>
    </r>
    <r>
      <rPr>
        <sz val="10"/>
        <color theme="0"/>
        <rFont val="Calibri"/>
        <family val="2"/>
        <charset val="186"/>
        <scheme val="minor"/>
      </rPr>
      <t>=</t>
    </r>
  </si>
  <si>
    <r>
      <t>u</t>
    </r>
    <r>
      <rPr>
        <vertAlign val="subscript"/>
        <sz val="10"/>
        <color theme="0"/>
        <rFont val="Calibri"/>
        <family val="2"/>
        <charset val="186"/>
        <scheme val="minor"/>
      </rPr>
      <t>cr</t>
    </r>
    <r>
      <rPr>
        <sz val="10"/>
        <color theme="0"/>
        <rFont val="Calibri"/>
        <family val="2"/>
        <charset val="186"/>
        <scheme val="minor"/>
      </rPr>
      <t>=</t>
    </r>
  </si>
  <si>
    <r>
      <t>u</t>
    </r>
    <r>
      <rPr>
        <vertAlign val="subscript"/>
        <sz val="10"/>
        <color theme="0"/>
        <rFont val="Calibri"/>
        <family val="2"/>
        <charset val="186"/>
        <scheme val="minor"/>
      </rPr>
      <t>fin</t>
    </r>
    <r>
      <rPr>
        <sz val="10"/>
        <color theme="0"/>
        <rFont val="Calibri"/>
        <family val="2"/>
        <charset val="186"/>
        <scheme val="minor"/>
      </rPr>
      <t>=</t>
    </r>
  </si>
  <si>
    <r>
      <t>n</t>
    </r>
    <r>
      <rPr>
        <vertAlign val="subscript"/>
        <sz val="10"/>
        <color theme="0"/>
        <rFont val="Calibri"/>
        <family val="2"/>
        <charset val="186"/>
        <scheme val="minor"/>
      </rPr>
      <t>0</t>
    </r>
    <r>
      <rPr>
        <sz val="10"/>
        <color theme="0"/>
        <rFont val="Calibri"/>
        <family val="2"/>
        <charset val="186"/>
        <scheme val="minor"/>
      </rPr>
      <t>=</t>
    </r>
  </si>
  <si>
    <r>
      <t>u</t>
    </r>
    <r>
      <rPr>
        <vertAlign val="subscript"/>
        <sz val="10"/>
        <color theme="0"/>
        <rFont val="Calibri"/>
        <family val="2"/>
        <charset val="186"/>
        <scheme val="minor"/>
      </rPr>
      <t>adm</t>
    </r>
    <r>
      <rPr>
        <sz val="10"/>
        <color theme="0"/>
        <rFont val="Calibri"/>
        <family val="2"/>
        <charset val="186"/>
        <scheme val="minor"/>
      </rPr>
      <t>=</t>
    </r>
  </si>
  <si>
    <r>
      <t>c</t>
    </r>
    <r>
      <rPr>
        <vertAlign val="subscript"/>
        <sz val="10"/>
        <color theme="0"/>
        <rFont val="Calibri"/>
        <family val="2"/>
        <charset val="186"/>
        <scheme val="minor"/>
      </rPr>
      <t>u</t>
    </r>
    <r>
      <rPr>
        <sz val="10"/>
        <color theme="0"/>
        <rFont val="Calibri"/>
        <family val="2"/>
        <charset val="186"/>
        <scheme val="minor"/>
      </rPr>
      <t>=</t>
    </r>
  </si>
  <si>
    <r>
      <t>f</t>
    </r>
    <r>
      <rPr>
        <vertAlign val="subscript"/>
        <sz val="11"/>
        <color theme="0"/>
        <rFont val="Calibri"/>
        <family val="2"/>
        <charset val="186"/>
        <scheme val="minor"/>
      </rPr>
      <t>m,k</t>
    </r>
    <r>
      <rPr>
        <sz val="10"/>
        <color theme="0"/>
        <rFont val="Arial"/>
        <family val="2"/>
        <charset val="186"/>
      </rPr>
      <t xml:space="preserve"> =</t>
    </r>
  </si>
  <si>
    <r>
      <t>N/mm</t>
    </r>
    <r>
      <rPr>
        <vertAlign val="superscript"/>
        <sz val="11"/>
        <color theme="0"/>
        <rFont val="Calibri"/>
        <family val="2"/>
        <charset val="186"/>
        <scheme val="minor"/>
      </rPr>
      <t>2</t>
    </r>
  </si>
  <si>
    <r>
      <t>f</t>
    </r>
    <r>
      <rPr>
        <vertAlign val="subscript"/>
        <sz val="11"/>
        <color theme="0"/>
        <rFont val="Calibri"/>
        <family val="2"/>
        <charset val="186"/>
        <scheme val="minor"/>
      </rPr>
      <t>v,k</t>
    </r>
    <r>
      <rPr>
        <sz val="10"/>
        <color theme="0"/>
        <rFont val="Arial"/>
        <family val="2"/>
        <charset val="186"/>
      </rPr>
      <t xml:space="preserve"> =</t>
    </r>
  </si>
  <si>
    <r>
      <t>k</t>
    </r>
    <r>
      <rPr>
        <vertAlign val="subscript"/>
        <sz val="11"/>
        <color theme="0"/>
        <rFont val="Calibri"/>
        <family val="2"/>
        <charset val="186"/>
        <scheme val="minor"/>
      </rPr>
      <t>mod</t>
    </r>
  </si>
  <si>
    <r>
      <t>E</t>
    </r>
    <r>
      <rPr>
        <vertAlign val="subscript"/>
        <sz val="11"/>
        <color theme="0"/>
        <rFont val="Calibri"/>
        <family val="2"/>
        <charset val="186"/>
        <scheme val="minor"/>
      </rPr>
      <t>0,05</t>
    </r>
    <r>
      <rPr>
        <sz val="10"/>
        <color theme="0"/>
        <rFont val="Arial"/>
        <family val="2"/>
        <charset val="186"/>
      </rPr>
      <t xml:space="preserve"> =</t>
    </r>
  </si>
  <si>
    <r>
      <t>E</t>
    </r>
    <r>
      <rPr>
        <vertAlign val="subscript"/>
        <sz val="11"/>
        <color theme="0"/>
        <rFont val="Calibri"/>
        <family val="2"/>
        <charset val="186"/>
        <scheme val="minor"/>
      </rPr>
      <t>0,mean</t>
    </r>
    <r>
      <rPr>
        <sz val="10"/>
        <color theme="0"/>
        <rFont val="Arial"/>
        <family val="2"/>
        <charset val="186"/>
      </rPr>
      <t xml:space="preserve"> =</t>
    </r>
  </si>
  <si>
    <r>
      <t>L</t>
    </r>
    <r>
      <rPr>
        <vertAlign val="subscript"/>
        <sz val="11"/>
        <color theme="0"/>
        <rFont val="Calibri"/>
        <family val="2"/>
        <charset val="186"/>
        <scheme val="minor"/>
      </rPr>
      <t>atb</t>
    </r>
  </si>
  <si>
    <r>
      <t>L</t>
    </r>
    <r>
      <rPr>
        <vertAlign val="subscript"/>
        <sz val="11"/>
        <color theme="0"/>
        <rFont val="Calibri"/>
        <family val="2"/>
        <charset val="186"/>
        <scheme val="minor"/>
      </rPr>
      <t xml:space="preserve">ef </t>
    </r>
    <r>
      <rPr>
        <sz val="10"/>
        <color theme="0"/>
        <rFont val="Arial"/>
        <family val="2"/>
        <charset val="186"/>
      </rPr>
      <t>= L+L</t>
    </r>
    <r>
      <rPr>
        <vertAlign val="subscript"/>
        <sz val="11"/>
        <color theme="0"/>
        <rFont val="Calibri"/>
        <family val="2"/>
        <charset val="186"/>
        <scheme val="minor"/>
      </rPr>
      <t>atb</t>
    </r>
  </si>
  <si>
    <r>
      <t>L</t>
    </r>
    <r>
      <rPr>
        <vertAlign val="subscript"/>
        <sz val="11"/>
        <color theme="0"/>
        <rFont val="Calibri"/>
        <family val="2"/>
        <charset val="186"/>
        <scheme val="minor"/>
      </rPr>
      <t>nom</t>
    </r>
    <r>
      <rPr>
        <sz val="10"/>
        <color theme="0"/>
        <rFont val="Arial"/>
        <family val="2"/>
        <charset val="186"/>
      </rPr>
      <t xml:space="preserve"> = L+2*L</t>
    </r>
    <r>
      <rPr>
        <vertAlign val="subscript"/>
        <sz val="11"/>
        <color theme="0"/>
        <rFont val="Calibri"/>
        <family val="2"/>
        <charset val="186"/>
        <scheme val="minor"/>
      </rPr>
      <t>atb</t>
    </r>
  </si>
  <si>
    <r>
      <t xml:space="preserve">Fd = </t>
    </r>
    <r>
      <rPr>
        <sz val="11"/>
        <color theme="0"/>
        <rFont val="Calibri"/>
        <family val="2"/>
        <charset val="186"/>
      </rPr>
      <t>γ</t>
    </r>
    <r>
      <rPr>
        <vertAlign val="subscript"/>
        <sz val="11"/>
        <color theme="0"/>
        <rFont val="Calibri"/>
        <family val="2"/>
        <charset val="186"/>
      </rPr>
      <t>G,i</t>
    </r>
    <r>
      <rPr>
        <sz val="11"/>
        <color theme="0"/>
        <rFont val="Calibri"/>
        <family val="2"/>
        <charset val="186"/>
      </rPr>
      <t xml:space="preserve"> * G</t>
    </r>
    <r>
      <rPr>
        <vertAlign val="subscript"/>
        <sz val="11"/>
        <color theme="0"/>
        <rFont val="Calibri"/>
        <family val="2"/>
        <charset val="186"/>
      </rPr>
      <t>k,i</t>
    </r>
    <r>
      <rPr>
        <sz val="11"/>
        <color theme="0"/>
        <rFont val="Calibri"/>
        <family val="2"/>
        <charset val="186"/>
      </rPr>
      <t xml:space="preserve"> + γ</t>
    </r>
    <r>
      <rPr>
        <vertAlign val="subscript"/>
        <sz val="11"/>
        <color theme="0"/>
        <rFont val="Calibri"/>
        <family val="2"/>
        <charset val="186"/>
      </rPr>
      <t>Q,1</t>
    </r>
    <r>
      <rPr>
        <sz val="11"/>
        <color theme="0"/>
        <rFont val="Calibri"/>
        <family val="2"/>
        <charset val="186"/>
      </rPr>
      <t>*Q</t>
    </r>
    <r>
      <rPr>
        <vertAlign val="subscript"/>
        <sz val="11"/>
        <color theme="0"/>
        <rFont val="Calibri"/>
        <family val="2"/>
        <charset val="186"/>
      </rPr>
      <t xml:space="preserve">k,1 </t>
    </r>
    <r>
      <rPr>
        <sz val="11"/>
        <color theme="0"/>
        <rFont val="Calibri"/>
        <family val="2"/>
        <charset val="186"/>
      </rPr>
      <t>=</t>
    </r>
  </si>
  <si>
    <r>
      <t>Taisnstūra šķērsgriezums: k</t>
    </r>
    <r>
      <rPr>
        <vertAlign val="subscript"/>
        <sz val="11"/>
        <color theme="0"/>
        <rFont val="Calibri"/>
        <family val="2"/>
        <charset val="186"/>
        <scheme val="minor"/>
      </rPr>
      <t>m</t>
    </r>
    <r>
      <rPr>
        <sz val="10"/>
        <color theme="0"/>
        <rFont val="Arial"/>
        <family val="2"/>
        <charset val="186"/>
      </rPr>
      <t>=</t>
    </r>
  </si>
  <si>
    <r>
      <t>mm</t>
    </r>
    <r>
      <rPr>
        <vertAlign val="superscript"/>
        <sz val="11"/>
        <color theme="0"/>
        <rFont val="Calibri"/>
        <family val="2"/>
        <charset val="186"/>
        <scheme val="minor"/>
      </rPr>
      <t>3</t>
    </r>
  </si>
  <si>
    <r>
      <t>Citas formas šķ.griezums: k</t>
    </r>
    <r>
      <rPr>
        <vertAlign val="subscript"/>
        <sz val="11"/>
        <color theme="0"/>
        <rFont val="Calibri"/>
        <family val="2"/>
        <charset val="186"/>
        <scheme val="minor"/>
      </rPr>
      <t>m</t>
    </r>
    <r>
      <rPr>
        <sz val="10"/>
        <color theme="0"/>
        <rFont val="Arial"/>
        <family val="2"/>
        <charset val="186"/>
      </rPr>
      <t>=</t>
    </r>
  </si>
  <si>
    <r>
      <t>k</t>
    </r>
    <r>
      <rPr>
        <vertAlign val="subscript"/>
        <sz val="11"/>
        <color theme="0"/>
        <rFont val="Calibri"/>
        <family val="2"/>
        <charset val="186"/>
        <scheme val="minor"/>
      </rPr>
      <t>h</t>
    </r>
    <r>
      <rPr>
        <sz val="10"/>
        <color theme="0"/>
        <rFont val="Arial"/>
        <family val="2"/>
        <charset val="186"/>
      </rPr>
      <t>=min{1,3; (150/h)</t>
    </r>
    <r>
      <rPr>
        <vertAlign val="superscript"/>
        <sz val="11"/>
        <color theme="0"/>
        <rFont val="Calibri"/>
        <family val="2"/>
        <charset val="186"/>
        <scheme val="minor"/>
      </rPr>
      <t>0,2</t>
    </r>
    <r>
      <rPr>
        <sz val="10"/>
        <color theme="0"/>
        <rFont val="Arial"/>
        <family val="2"/>
        <charset val="186"/>
      </rPr>
      <t>}</t>
    </r>
  </si>
  <si>
    <r>
      <t>k</t>
    </r>
    <r>
      <rPr>
        <vertAlign val="subscript"/>
        <sz val="11"/>
        <color theme="0"/>
        <rFont val="Calibri"/>
        <family val="2"/>
        <charset val="186"/>
        <scheme val="minor"/>
      </rPr>
      <t>h</t>
    </r>
    <r>
      <rPr>
        <sz val="10"/>
        <color theme="0"/>
        <rFont val="Arial"/>
        <family val="2"/>
        <charset val="186"/>
      </rPr>
      <t>=min{1,1; (600/h)</t>
    </r>
    <r>
      <rPr>
        <vertAlign val="superscript"/>
        <sz val="11"/>
        <color theme="0"/>
        <rFont val="Calibri"/>
        <family val="2"/>
        <charset val="186"/>
        <scheme val="minor"/>
      </rPr>
      <t>0,1</t>
    </r>
    <r>
      <rPr>
        <sz val="10"/>
        <color theme="0"/>
        <rFont val="Arial"/>
        <family val="2"/>
        <charset val="186"/>
      </rPr>
      <t>}</t>
    </r>
  </si>
  <si>
    <r>
      <t>k</t>
    </r>
    <r>
      <rPr>
        <vertAlign val="subscript"/>
        <sz val="11"/>
        <color theme="0"/>
        <rFont val="Calibri"/>
        <family val="2"/>
        <charset val="186"/>
        <scheme val="minor"/>
      </rPr>
      <t>h</t>
    </r>
    <r>
      <rPr>
        <sz val="10"/>
        <color theme="0"/>
        <rFont val="Arial"/>
        <family val="2"/>
        <charset val="186"/>
      </rPr>
      <t>=min{1,2; (300/h)</t>
    </r>
    <r>
      <rPr>
        <vertAlign val="superscript"/>
        <sz val="11"/>
        <color theme="0"/>
        <rFont val="Calibri"/>
        <family val="2"/>
        <charset val="186"/>
        <scheme val="minor"/>
      </rPr>
      <t>s</t>
    </r>
    <r>
      <rPr>
        <sz val="10"/>
        <color theme="0"/>
        <rFont val="Arial"/>
        <family val="2"/>
        <charset val="186"/>
      </rPr>
      <t>}</t>
    </r>
  </si>
  <si>
    <r>
      <t>γ</t>
    </r>
    <r>
      <rPr>
        <vertAlign val="subscript"/>
        <sz val="11"/>
        <color theme="0"/>
        <rFont val="Calibri"/>
        <family val="2"/>
        <charset val="186"/>
      </rPr>
      <t>m</t>
    </r>
    <r>
      <rPr>
        <sz val="11"/>
        <color theme="0"/>
        <rFont val="Calibri"/>
        <family val="2"/>
        <charset val="186"/>
      </rPr>
      <t xml:space="preserve"> </t>
    </r>
    <r>
      <rPr>
        <vertAlign val="subscript"/>
        <sz val="11"/>
        <color theme="0"/>
        <rFont val="Calibri"/>
        <family val="2"/>
        <charset val="186"/>
      </rPr>
      <t xml:space="preserve"> </t>
    </r>
    <r>
      <rPr>
        <sz val="11"/>
        <color theme="0"/>
        <rFont val="Calibri"/>
        <family val="2"/>
        <charset val="186"/>
      </rPr>
      <t>=</t>
    </r>
  </si>
  <si>
    <r>
      <t>k</t>
    </r>
    <r>
      <rPr>
        <vertAlign val="subscript"/>
        <sz val="11"/>
        <color theme="0"/>
        <rFont val="Calibri"/>
        <family val="2"/>
        <charset val="186"/>
      </rPr>
      <t>cr</t>
    </r>
    <r>
      <rPr>
        <sz val="11"/>
        <color theme="0"/>
        <rFont val="Calibri"/>
        <family val="2"/>
        <charset val="186"/>
      </rPr>
      <t xml:space="preserve"> </t>
    </r>
    <r>
      <rPr>
        <vertAlign val="subscript"/>
        <sz val="11"/>
        <color theme="0"/>
        <rFont val="Calibri"/>
        <family val="2"/>
        <charset val="186"/>
      </rPr>
      <t xml:space="preserve"> </t>
    </r>
    <r>
      <rPr>
        <sz val="11"/>
        <color theme="0"/>
        <rFont val="Calibri"/>
        <family val="2"/>
        <charset val="186"/>
      </rPr>
      <t>=</t>
    </r>
  </si>
  <si>
    <r>
      <t>mm</t>
    </r>
    <r>
      <rPr>
        <vertAlign val="superscript"/>
        <sz val="11"/>
        <color theme="0"/>
        <rFont val="Calibri"/>
        <family val="2"/>
        <charset val="186"/>
        <scheme val="minor"/>
      </rPr>
      <t>2</t>
    </r>
  </si>
  <si>
    <r>
      <t>k</t>
    </r>
    <r>
      <rPr>
        <vertAlign val="subscript"/>
        <sz val="11"/>
        <color theme="0"/>
        <rFont val="Calibri"/>
        <family val="2"/>
        <charset val="186"/>
      </rPr>
      <t>crit</t>
    </r>
    <r>
      <rPr>
        <sz val="11"/>
        <color theme="0"/>
        <rFont val="Calibri"/>
        <family val="2"/>
        <charset val="186"/>
      </rPr>
      <t xml:space="preserve"> </t>
    </r>
    <r>
      <rPr>
        <vertAlign val="subscript"/>
        <sz val="11"/>
        <color theme="0"/>
        <rFont val="Calibri"/>
        <family val="2"/>
        <charset val="186"/>
      </rPr>
      <t xml:space="preserve"> </t>
    </r>
    <r>
      <rPr>
        <sz val="11"/>
        <color theme="0"/>
        <rFont val="Calibri"/>
        <family val="2"/>
        <charset val="186"/>
      </rPr>
      <t>=</t>
    </r>
  </si>
  <si>
    <r>
      <t>0,75≤</t>
    </r>
    <r>
      <rPr>
        <sz val="11"/>
        <color theme="0"/>
        <rFont val="Calibri"/>
        <family val="2"/>
        <charset val="186"/>
      </rPr>
      <t>λ</t>
    </r>
    <r>
      <rPr>
        <vertAlign val="subscript"/>
        <sz val="11"/>
        <color theme="0"/>
        <rFont val="Calibri"/>
        <family val="2"/>
        <charset val="186"/>
      </rPr>
      <t>rel,m</t>
    </r>
    <r>
      <rPr>
        <sz val="11"/>
        <color theme="0"/>
        <rFont val="Calibri"/>
        <family val="2"/>
        <charset val="186"/>
      </rPr>
      <t>≤1,4</t>
    </r>
  </si>
  <si>
    <r>
      <t>1,56-0,75</t>
    </r>
    <r>
      <rPr>
        <sz val="11"/>
        <color theme="0"/>
        <rFont val="Calibri"/>
        <family val="2"/>
        <charset val="186"/>
      </rPr>
      <t>λ</t>
    </r>
    <r>
      <rPr>
        <vertAlign val="subscript"/>
        <sz val="11"/>
        <color theme="0"/>
        <rFont val="Calibri"/>
        <family val="2"/>
        <charset val="186"/>
      </rPr>
      <t>rel,m</t>
    </r>
  </si>
  <si>
    <r>
      <t>λ</t>
    </r>
    <r>
      <rPr>
        <vertAlign val="subscript"/>
        <sz val="11"/>
        <color theme="0"/>
        <rFont val="Calibri"/>
        <family val="2"/>
        <charset val="186"/>
      </rPr>
      <t>rel,m</t>
    </r>
    <r>
      <rPr>
        <sz val="11"/>
        <color theme="0"/>
        <rFont val="Calibri"/>
        <family val="2"/>
        <charset val="186"/>
      </rPr>
      <t>&gt;1,4</t>
    </r>
  </si>
  <si>
    <r>
      <t>mm</t>
    </r>
    <r>
      <rPr>
        <vertAlign val="superscript"/>
        <sz val="11"/>
        <color theme="0"/>
        <rFont val="Calibri"/>
        <family val="2"/>
        <charset val="186"/>
        <scheme val="minor"/>
      </rPr>
      <t>4</t>
    </r>
  </si>
  <si>
    <r>
      <t>k</t>
    </r>
    <r>
      <rPr>
        <vertAlign val="subscript"/>
        <sz val="11"/>
        <color theme="0"/>
        <rFont val="Calibri"/>
        <family val="2"/>
        <charset val="186"/>
        <scheme val="minor"/>
      </rPr>
      <t>def</t>
    </r>
  </si>
  <si>
    <t>Piezīmes:</t>
  </si>
  <si>
    <t>1. Ievadot datus pievērsiet uzmanību mērvienībām;</t>
  </si>
  <si>
    <t>2. Sniegtais aprēķins sniedz vispārīgu informatīvu raksturu, pirms galīgās materiālu un to dimensiju izvēles konsultēties ar sertificētu būvspeciālistu;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</si>
</sst>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"/>
    <numFmt numFmtId="165" formatCode="0.0000000"/>
    <numFmt numFmtId="166" formatCode="0.0"/>
  </numFmts>
  <fonts count="38" x14ac:knownFonts="1">
    <font>
      <sz val="10"/>
      <name val="Arial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name val="Courier New"/>
      <family val="3"/>
      <charset val="186"/>
    </font>
    <font>
      <sz val="11"/>
      <name val="Calibri"/>
      <family val="2"/>
      <charset val="186"/>
    </font>
    <font>
      <b/>
      <sz val="11"/>
      <color rgb="FFFF0000"/>
      <name val="Courier New"/>
      <family val="3"/>
      <charset val="186"/>
    </font>
    <font>
      <vertAlign val="subscript"/>
      <sz val="11"/>
      <name val="Courier New"/>
      <family val="3"/>
      <charset val="186"/>
    </font>
    <font>
      <sz val="11"/>
      <color rgb="FF0000FF"/>
      <name val="Courier New"/>
      <family val="3"/>
      <charset val="186"/>
    </font>
    <font>
      <sz val="11"/>
      <name val="Arial Black"/>
      <family val="2"/>
      <charset val="186"/>
    </font>
    <font>
      <b/>
      <sz val="11"/>
      <name val="Courier New"/>
      <family val="3"/>
      <charset val="186"/>
    </font>
    <font>
      <sz val="11"/>
      <name val="Cambria"/>
      <family val="1"/>
      <charset val="186"/>
      <scheme val="major"/>
    </font>
    <font>
      <sz val="11"/>
      <name val="Calibri"/>
      <family val="2"/>
      <charset val="186"/>
      <scheme val="minor"/>
    </font>
    <font>
      <vertAlign val="subscript"/>
      <sz val="11"/>
      <name val="Calibri"/>
      <family val="2"/>
      <charset val="186"/>
    </font>
    <font>
      <b/>
      <sz val="11"/>
      <color theme="0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sz val="18"/>
      <color theme="0"/>
      <name val="Calibri"/>
      <family val="2"/>
      <charset val="186"/>
      <scheme val="minor"/>
    </font>
    <font>
      <sz val="10"/>
      <color theme="0"/>
      <name val="Calibri"/>
      <family val="2"/>
      <charset val="186"/>
      <scheme val="minor"/>
    </font>
    <font>
      <vertAlign val="subscript"/>
      <sz val="10"/>
      <color theme="0"/>
      <name val="Calibri"/>
      <family val="2"/>
      <charset val="186"/>
      <scheme val="minor"/>
    </font>
    <font>
      <sz val="6"/>
      <color theme="0"/>
      <name val="Calibri"/>
      <family val="2"/>
      <charset val="186"/>
      <scheme val="minor"/>
    </font>
    <font>
      <u/>
      <sz val="10"/>
      <color theme="0"/>
      <name val="Calibri"/>
      <family val="2"/>
      <charset val="186"/>
      <scheme val="minor"/>
    </font>
    <font>
      <vertAlign val="superscript"/>
      <sz val="10"/>
      <color theme="0"/>
      <name val="Calibri"/>
      <family val="2"/>
      <charset val="186"/>
      <scheme val="minor"/>
    </font>
    <font>
      <b/>
      <vertAlign val="subscript"/>
      <sz val="10"/>
      <color theme="0"/>
      <name val="Calibri"/>
      <family val="2"/>
      <charset val="186"/>
      <scheme val="minor"/>
    </font>
    <font>
      <b/>
      <sz val="10"/>
      <color theme="0"/>
      <name val="Calibri"/>
      <family val="2"/>
      <charset val="186"/>
      <scheme val="minor"/>
    </font>
    <font>
      <b/>
      <i/>
      <sz val="10"/>
      <color theme="0"/>
      <name val="Calibri"/>
      <family val="2"/>
      <charset val="186"/>
      <scheme val="minor"/>
    </font>
    <font>
      <i/>
      <sz val="10"/>
      <color theme="0"/>
      <name val="Calibri"/>
      <family val="2"/>
      <charset val="186"/>
      <scheme val="minor"/>
    </font>
    <font>
      <i/>
      <vertAlign val="subscript"/>
      <sz val="10"/>
      <color theme="0"/>
      <name val="Calibri"/>
      <family val="2"/>
      <charset val="186"/>
      <scheme val="minor"/>
    </font>
    <font>
      <b/>
      <sz val="24"/>
      <color theme="0"/>
      <name val="Calibri"/>
      <family val="2"/>
      <charset val="186"/>
      <scheme val="minor"/>
    </font>
    <font>
      <vertAlign val="subscript"/>
      <sz val="11"/>
      <color theme="0"/>
      <name val="Calibri"/>
      <family val="2"/>
      <charset val="186"/>
      <scheme val="minor"/>
    </font>
    <font>
      <sz val="10"/>
      <color theme="0"/>
      <name val="Arial"/>
      <family val="2"/>
      <charset val="186"/>
    </font>
    <font>
      <vertAlign val="superscript"/>
      <sz val="11"/>
      <color theme="0"/>
      <name val="Calibri"/>
      <family val="2"/>
      <charset val="186"/>
      <scheme val="minor"/>
    </font>
    <font>
      <b/>
      <sz val="14"/>
      <color theme="0"/>
      <name val="Calibri"/>
      <family val="2"/>
      <charset val="186"/>
      <scheme val="minor"/>
    </font>
    <font>
      <sz val="11"/>
      <color theme="0"/>
      <name val="Calibri"/>
      <family val="2"/>
      <charset val="186"/>
    </font>
    <font>
      <vertAlign val="subscript"/>
      <sz val="11"/>
      <color theme="0"/>
      <name val="Calibri"/>
      <family val="2"/>
      <charset val="186"/>
    </font>
    <font>
      <sz val="14"/>
      <color theme="0"/>
      <name val="Calibri"/>
      <family val="2"/>
      <charset val="186"/>
      <scheme val="minor"/>
    </font>
    <font>
      <i/>
      <sz val="11"/>
      <color theme="0"/>
      <name val="Calibri"/>
      <family val="2"/>
      <charset val="186"/>
      <scheme val="minor"/>
    </font>
    <font>
      <sz val="9"/>
      <color rgb="FFFF0000"/>
      <name val="Courier New"/>
      <family val="3"/>
      <charset val="186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rgb="FF0000FF"/>
      </left>
      <right style="dotted">
        <color rgb="FF0000FF"/>
      </right>
      <top style="dotted">
        <color rgb="FF0000FF"/>
      </top>
      <bottom style="dotted">
        <color rgb="FF0000FF"/>
      </bottom>
      <diagonal/>
    </border>
    <border>
      <left style="dotted">
        <color rgb="FF0000FF"/>
      </left>
      <right style="dotted">
        <color rgb="FF0000FF"/>
      </right>
      <top style="dotted">
        <color rgb="FF0000FF"/>
      </top>
      <bottom/>
      <diagonal/>
    </border>
    <border>
      <left style="thin">
        <color indexed="64"/>
      </left>
      <right style="thin">
        <color indexed="64"/>
      </right>
      <top style="dotted">
        <color rgb="FF0000FF"/>
      </top>
      <bottom style="dotted">
        <color rgb="FF0000FF"/>
      </bottom>
      <diagonal/>
    </border>
  </borders>
  <cellStyleXfs count="2">
    <xf numFmtId="0" fontId="0" fillId="0" borderId="0" applyNumberFormat="0" applyFont="0" applyFill="0" applyBorder="0" applyAlignment="0" applyProtection="0">
      <alignment vertical="top"/>
    </xf>
    <xf numFmtId="0" fontId="1" fillId="0" borderId="0"/>
  </cellStyleXfs>
  <cellXfs count="98">
    <xf numFmtId="0" fontId="3" fillId="0" borderId="0" xfId="0" applyNumberFormat="1" applyFont="1" applyFill="1" applyBorder="1" applyAlignment="1" applyProtection="1">
      <alignment vertical="top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 wrapText="1"/>
    </xf>
    <xf numFmtId="0" fontId="5" fillId="2" borderId="4" xfId="0" applyNumberFormat="1" applyFont="1" applyFill="1" applyBorder="1" applyAlignment="1" applyProtection="1">
      <alignment vertical="top"/>
    </xf>
    <xf numFmtId="0" fontId="5" fillId="2" borderId="7" xfId="0" applyNumberFormat="1" applyFont="1" applyFill="1" applyBorder="1" applyAlignment="1" applyProtection="1">
      <alignment vertical="top"/>
    </xf>
    <xf numFmtId="0" fontId="5" fillId="0" borderId="3" xfId="0" applyNumberFormat="1" applyFont="1" applyFill="1" applyBorder="1" applyAlignment="1" applyProtection="1">
      <alignment vertical="top"/>
    </xf>
    <xf numFmtId="0" fontId="5" fillId="0" borderId="6" xfId="0" applyNumberFormat="1" applyFont="1" applyFill="1" applyBorder="1" applyAlignment="1" applyProtection="1">
      <alignment vertical="top"/>
    </xf>
    <xf numFmtId="0" fontId="5" fillId="0" borderId="1" xfId="0" applyNumberFormat="1" applyFont="1" applyFill="1" applyBorder="1" applyAlignment="1" applyProtection="1">
      <alignment vertical="top"/>
    </xf>
    <xf numFmtId="0" fontId="5" fillId="0" borderId="8" xfId="0" applyNumberFormat="1" applyFont="1" applyFill="1" applyBorder="1" applyAlignment="1" applyProtection="1">
      <alignment vertical="top"/>
    </xf>
    <xf numFmtId="0" fontId="5" fillId="0" borderId="2" xfId="0" applyNumberFormat="1" applyFont="1" applyFill="1" applyBorder="1" applyAlignment="1" applyProtection="1">
      <alignment vertical="center" wrapText="1"/>
    </xf>
    <xf numFmtId="0" fontId="5" fillId="0" borderId="2" xfId="0" applyNumberFormat="1" applyFont="1" applyFill="1" applyBorder="1" applyAlignment="1" applyProtection="1">
      <alignment horizontal="center" vertical="center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vertical="top"/>
    </xf>
    <xf numFmtId="0" fontId="5" fillId="3" borderId="2" xfId="0" applyNumberFormat="1" applyFont="1" applyFill="1" applyBorder="1" applyAlignment="1" applyProtection="1">
      <alignment horizontal="center" vertical="center"/>
    </xf>
    <xf numFmtId="0" fontId="5" fillId="3" borderId="2" xfId="0" applyNumberFormat="1" applyFont="1" applyFill="1" applyBorder="1" applyAlignment="1" applyProtection="1">
      <alignment vertical="center"/>
    </xf>
    <xf numFmtId="0" fontId="5" fillId="0" borderId="6" xfId="0" applyNumberFormat="1" applyFont="1" applyFill="1" applyBorder="1" applyAlignment="1" applyProtection="1">
      <alignment horizontal="center" vertical="center" wrapText="1"/>
    </xf>
    <xf numFmtId="166" fontId="10" fillId="5" borderId="9" xfId="0" applyNumberFormat="1" applyFont="1" applyFill="1" applyBorder="1" applyAlignment="1" applyProtection="1">
      <alignment horizontal="center" vertical="center"/>
    </xf>
    <xf numFmtId="0" fontId="5" fillId="3" borderId="10" xfId="0" applyNumberFormat="1" applyFont="1" applyFill="1" applyBorder="1" applyAlignment="1" applyProtection="1">
      <alignment horizontal="center" vertical="center"/>
    </xf>
    <xf numFmtId="2" fontId="9" fillId="4" borderId="12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0" applyNumberFormat="1" applyFont="1" applyFill="1" applyBorder="1" applyAlignment="1" applyProtection="1">
      <alignment vertical="center" wrapText="1"/>
    </xf>
    <xf numFmtId="0" fontId="6" fillId="0" borderId="10" xfId="0" applyNumberFormat="1" applyFont="1" applyFill="1" applyBorder="1" applyAlignment="1" applyProtection="1">
      <alignment horizontal="center" vertical="center" wrapText="1"/>
    </xf>
    <xf numFmtId="0" fontId="5" fillId="0" borderId="8" xfId="0" applyNumberFormat="1" applyFont="1" applyFill="1" applyBorder="1" applyAlignment="1" applyProtection="1">
      <alignment horizontal="center" vertical="center" wrapText="1"/>
    </xf>
    <xf numFmtId="1" fontId="9" fillId="4" borderId="1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1" xfId="0" applyNumberFormat="1" applyFont="1" applyFill="1" applyBorder="1" applyAlignment="1" applyProtection="1">
      <alignment horizontal="center" vertical="center" wrapText="1"/>
    </xf>
    <xf numFmtId="0" fontId="5" fillId="0" borderId="7" xfId="0" applyNumberFormat="1" applyFont="1" applyFill="1" applyBorder="1" applyAlignment="1" applyProtection="1">
      <alignment horizontal="center" vertical="center" wrapText="1"/>
    </xf>
    <xf numFmtId="166" fontId="9" fillId="4" borderId="12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6" xfId="0" applyNumberFormat="1" applyFont="1" applyFill="1" applyBorder="1" applyAlignment="1" applyProtection="1">
      <alignment horizontal="center" vertical="center"/>
    </xf>
    <xf numFmtId="0" fontId="5" fillId="0" borderId="3" xfId="0" applyNumberFormat="1" applyFont="1" applyFill="1" applyBorder="1" applyAlignment="1" applyProtection="1">
      <alignment horizontal="center" vertical="center"/>
    </xf>
    <xf numFmtId="0" fontId="5" fillId="0" borderId="10" xfId="0" applyNumberFormat="1" applyFont="1" applyFill="1" applyBorder="1" applyAlignment="1" applyProtection="1">
      <alignment horizontal="center" vertical="center" wrapText="1"/>
    </xf>
    <xf numFmtId="0" fontId="6" fillId="0" borderId="5" xfId="0" applyNumberFormat="1" applyFont="1" applyFill="1" applyBorder="1" applyAlignment="1" applyProtection="1">
      <alignment horizontal="center" vertical="center" wrapText="1"/>
    </xf>
    <xf numFmtId="0" fontId="5" fillId="0" borderId="5" xfId="0" applyNumberFormat="1" applyFont="1" applyFill="1" applyBorder="1" applyAlignment="1" applyProtection="1">
      <alignment horizontal="center" vertical="center" wrapText="1"/>
    </xf>
    <xf numFmtId="0" fontId="13" fillId="0" borderId="6" xfId="0" applyNumberFormat="1" applyFont="1" applyFill="1" applyBorder="1" applyAlignment="1" applyProtection="1">
      <alignment horizontal="center" vertical="center"/>
    </xf>
    <xf numFmtId="166" fontId="10" fillId="0" borderId="9" xfId="0" applyNumberFormat="1" applyFont="1" applyFill="1" applyBorder="1" applyAlignment="1" applyProtection="1">
      <alignment horizontal="center" vertical="center"/>
    </xf>
    <xf numFmtId="0" fontId="7" fillId="0" borderId="3" xfId="0" applyNumberFormat="1" applyFont="1" applyFill="1" applyBorder="1" applyAlignment="1" applyProtection="1">
      <alignment horizontal="center" vertical="center" wrapText="1"/>
    </xf>
    <xf numFmtId="0" fontId="7" fillId="0" borderId="2" xfId="0" applyNumberFormat="1" applyFont="1" applyFill="1" applyBorder="1" applyAlignment="1" applyProtection="1">
      <alignment horizontal="center" vertical="center" wrapText="1"/>
    </xf>
    <xf numFmtId="0" fontId="9" fillId="4" borderId="12" xfId="0" applyNumberFormat="1" applyFont="1" applyFill="1" applyBorder="1" applyAlignment="1" applyProtection="1">
      <alignment horizontal="center" vertical="center" wrapText="1"/>
      <protection locked="0"/>
    </xf>
    <xf numFmtId="166" fontId="3" fillId="0" borderId="0" xfId="0" applyNumberFormat="1" applyFont="1" applyFill="1" applyBorder="1" applyAlignment="1" applyProtection="1">
      <alignment vertical="top"/>
    </xf>
    <xf numFmtId="166" fontId="5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5" fillId="0" borderId="5" xfId="0" applyNumberFormat="1" applyFont="1" applyFill="1" applyBorder="1" applyAlignment="1" applyProtection="1">
      <alignment horizontal="center" vertical="center" wrapText="1"/>
    </xf>
    <xf numFmtId="0" fontId="9" fillId="4" borderId="13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NumberFormat="1" applyFont="1" applyFill="1" applyBorder="1" applyAlignment="1" applyProtection="1">
      <alignment vertical="top"/>
    </xf>
    <xf numFmtId="0" fontId="18" fillId="0" borderId="0" xfId="0" applyNumberFormat="1" applyFont="1" applyFill="1" applyBorder="1" applyAlignment="1" applyProtection="1">
      <alignment horizontal="left" vertical="top" indent="8"/>
    </xf>
    <xf numFmtId="0" fontId="18" fillId="0" borderId="0" xfId="0" applyNumberFormat="1" applyFont="1" applyFill="1" applyBorder="1" applyAlignment="1" applyProtection="1">
      <alignment horizontal="left" vertical="top"/>
    </xf>
    <xf numFmtId="0" fontId="18" fillId="0" borderId="0" xfId="0" applyNumberFormat="1" applyFont="1" applyFill="1" applyBorder="1" applyAlignment="1" applyProtection="1">
      <alignment horizontal="center" vertical="top"/>
    </xf>
    <xf numFmtId="49" fontId="18" fillId="0" borderId="0" xfId="0" applyNumberFormat="1" applyFont="1" applyFill="1" applyBorder="1" applyAlignment="1" applyProtection="1">
      <alignment horizontal="left" vertical="top"/>
    </xf>
    <xf numFmtId="0" fontId="20" fillId="0" borderId="0" xfId="0" applyNumberFormat="1" applyFont="1" applyFill="1" applyBorder="1" applyAlignment="1" applyProtection="1">
      <alignment horizontal="left" vertical="top"/>
    </xf>
    <xf numFmtId="0" fontId="21" fillId="0" borderId="0" xfId="0" applyNumberFormat="1" applyFont="1" applyFill="1" applyBorder="1" applyAlignment="1" applyProtection="1">
      <alignment horizontal="left" vertical="top"/>
    </xf>
    <xf numFmtId="0" fontId="18" fillId="0" borderId="0" xfId="0" applyNumberFormat="1" applyFont="1" applyFill="1" applyBorder="1" applyAlignment="1" applyProtection="1">
      <alignment vertical="top" wrapText="1"/>
    </xf>
    <xf numFmtId="0" fontId="18" fillId="0" borderId="0" xfId="0" applyNumberFormat="1" applyFont="1" applyFill="1" applyBorder="1" applyAlignment="1" applyProtection="1">
      <alignment horizontal="left" vertical="top" indent="5"/>
    </xf>
    <xf numFmtId="0" fontId="18" fillId="0" borderId="0" xfId="0" applyNumberFormat="1" applyFont="1" applyFill="1" applyBorder="1" applyAlignment="1" applyProtection="1">
      <alignment horizontal="left" vertical="top" indent="4"/>
    </xf>
    <xf numFmtId="0" fontId="18" fillId="0" borderId="0" xfId="0" applyNumberFormat="1" applyFont="1" applyFill="1" applyBorder="1" applyAlignment="1" applyProtection="1">
      <alignment horizontal="left" vertical="top" indent="11"/>
    </xf>
    <xf numFmtId="0" fontId="18" fillId="0" borderId="0" xfId="0" applyNumberFormat="1" applyFont="1" applyFill="1" applyBorder="1" applyAlignment="1" applyProtection="1">
      <alignment horizontal="left" vertical="top" indent="15"/>
    </xf>
    <xf numFmtId="0" fontId="18" fillId="0" borderId="0" xfId="0" applyNumberFormat="1" applyFont="1" applyFill="1" applyBorder="1" applyAlignment="1" applyProtection="1">
      <alignment horizontal="left" vertical="top" indent="10"/>
    </xf>
    <xf numFmtId="0" fontId="18" fillId="0" borderId="0" xfId="0" applyNumberFormat="1" applyFont="1" applyFill="1" applyBorder="1" applyAlignment="1" applyProtection="1">
      <alignment horizontal="left" vertical="top" wrapText="1"/>
    </xf>
    <xf numFmtId="0" fontId="18" fillId="0" borderId="0" xfId="0" applyNumberFormat="1" applyFont="1" applyFill="1" applyBorder="1" applyAlignment="1" applyProtection="1">
      <alignment horizontal="left" vertical="center"/>
    </xf>
    <xf numFmtId="164" fontId="18" fillId="0" borderId="0" xfId="0" applyNumberFormat="1" applyFont="1" applyFill="1" applyBorder="1" applyAlignment="1" applyProtection="1">
      <alignment horizontal="left" vertical="top"/>
    </xf>
    <xf numFmtId="0" fontId="18" fillId="0" borderId="0" xfId="0" applyNumberFormat="1" applyFont="1" applyFill="1" applyBorder="1" applyAlignment="1" applyProtection="1">
      <alignment horizontal="left" vertical="top" indent="1"/>
    </xf>
    <xf numFmtId="0" fontId="24" fillId="0" borderId="0" xfId="0" applyNumberFormat="1" applyFont="1" applyFill="1" applyBorder="1" applyAlignment="1" applyProtection="1">
      <alignment horizontal="left" vertical="top"/>
    </xf>
    <xf numFmtId="165" fontId="18" fillId="0" borderId="0" xfId="0" applyNumberFormat="1" applyFont="1" applyFill="1" applyBorder="1" applyAlignment="1" applyProtection="1">
      <alignment horizontal="left" vertical="top"/>
    </xf>
    <xf numFmtId="0" fontId="16" fillId="0" borderId="0" xfId="1" applyFont="1" applyFill="1" applyBorder="1"/>
    <xf numFmtId="0" fontId="33" fillId="0" borderId="0" xfId="1" applyFont="1" applyFill="1" applyBorder="1"/>
    <xf numFmtId="0" fontId="28" fillId="0" borderId="0" xfId="1" applyFont="1" applyFill="1" applyBorder="1"/>
    <xf numFmtId="0" fontId="15" fillId="0" borderId="0" xfId="1" applyFont="1" applyFill="1" applyBorder="1"/>
    <xf numFmtId="2" fontId="16" fillId="0" borderId="0" xfId="1" applyNumberFormat="1" applyFont="1" applyFill="1" applyBorder="1"/>
    <xf numFmtId="0" fontId="16" fillId="0" borderId="0" xfId="1" applyFont="1" applyFill="1" applyBorder="1" applyAlignment="1">
      <alignment horizontal="right"/>
    </xf>
    <xf numFmtId="0" fontId="32" fillId="0" borderId="0" xfId="1" applyFont="1" applyFill="1" applyBorder="1"/>
    <xf numFmtId="0" fontId="35" fillId="0" borderId="0" xfId="1" applyFont="1" applyFill="1" applyBorder="1"/>
    <xf numFmtId="2" fontId="16" fillId="0" borderId="0" xfId="1" applyNumberFormat="1" applyFont="1" applyFill="1" applyBorder="1" applyAlignment="1">
      <alignment horizontal="right"/>
    </xf>
    <xf numFmtId="0" fontId="16" fillId="0" borderId="0" xfId="1" applyNumberFormat="1" applyFont="1" applyFill="1" applyBorder="1"/>
    <xf numFmtId="0" fontId="16" fillId="0" borderId="0" xfId="1" applyFont="1" applyFill="1" applyBorder="1" applyAlignment="1">
      <alignment horizontal="center"/>
    </xf>
    <xf numFmtId="0" fontId="16" fillId="0" borderId="0" xfId="1" applyFont="1" applyFill="1" applyBorder="1" applyAlignment="1">
      <alignment horizontal="left"/>
    </xf>
    <xf numFmtId="0" fontId="36" fillId="0" borderId="0" xfId="1" applyFont="1" applyFill="1" applyBorder="1"/>
    <xf numFmtId="2" fontId="16" fillId="0" borderId="0" xfId="1" applyNumberFormat="1" applyFont="1" applyFill="1" applyBorder="1" applyAlignment="1">
      <alignment horizontal="center"/>
    </xf>
    <xf numFmtId="0" fontId="7" fillId="0" borderId="0" xfId="0" applyFont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7" fillId="0" borderId="0" xfId="0" applyNumberFormat="1" applyFont="1" applyFill="1" applyBorder="1" applyAlignment="1" applyProtection="1">
      <alignment horizontal="left" vertical="center" wrapText="1"/>
    </xf>
    <xf numFmtId="0" fontId="11" fillId="3" borderId="2" xfId="0" applyNumberFormat="1" applyFont="1" applyFill="1" applyBorder="1" applyAlignment="1" applyProtection="1">
      <alignment horizontal="center" vertical="center"/>
    </xf>
    <xf numFmtId="0" fontId="5" fillId="3" borderId="2" xfId="0" applyNumberFormat="1" applyFont="1" applyFill="1" applyBorder="1" applyAlignment="1" applyProtection="1">
      <alignment horizontal="center" vertical="center" wrapText="1"/>
    </xf>
    <xf numFmtId="0" fontId="5" fillId="3" borderId="11" xfId="0" applyNumberFormat="1" applyFont="1" applyFill="1" applyBorder="1" applyAlignment="1" applyProtection="1">
      <alignment horizontal="center" vertical="center" wrapText="1"/>
    </xf>
    <xf numFmtId="0" fontId="9" fillId="4" borderId="12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10" xfId="0" applyNumberFormat="1" applyFont="1" applyFill="1" applyBorder="1" applyAlignment="1" applyProtection="1">
      <alignment horizontal="center" vertical="center"/>
    </xf>
    <xf numFmtId="0" fontId="5" fillId="3" borderId="2" xfId="0" applyNumberFormat="1" applyFont="1" applyFill="1" applyBorder="1" applyAlignment="1" applyProtection="1">
      <alignment horizontal="center" vertical="center"/>
    </xf>
    <xf numFmtId="0" fontId="18" fillId="0" borderId="0" xfId="0" applyNumberFormat="1" applyFont="1" applyFill="1" applyBorder="1" applyAlignment="1" applyProtection="1">
      <alignment horizontal="center" vertical="top"/>
    </xf>
    <xf numFmtId="0" fontId="18" fillId="0" borderId="0" xfId="0" applyNumberFormat="1" applyFont="1" applyFill="1" applyBorder="1" applyAlignment="1" applyProtection="1">
      <alignment horizontal="center" vertical="top" wrapText="1"/>
    </xf>
    <xf numFmtId="0" fontId="17" fillId="0" borderId="0" xfId="0" applyNumberFormat="1" applyFont="1" applyFill="1" applyBorder="1" applyAlignment="1" applyProtection="1">
      <alignment horizontal="center" vertical="top"/>
    </xf>
    <xf numFmtId="0" fontId="24" fillId="0" borderId="0" xfId="0" applyNumberFormat="1" applyFont="1" applyFill="1" applyBorder="1" applyAlignment="1" applyProtection="1">
      <alignment horizontal="left" vertical="top"/>
    </xf>
    <xf numFmtId="0" fontId="18" fillId="0" borderId="0" xfId="0" applyNumberFormat="1" applyFont="1" applyFill="1" applyBorder="1" applyAlignment="1" applyProtection="1">
      <alignment horizontal="left" vertical="top"/>
    </xf>
    <xf numFmtId="0" fontId="21" fillId="0" borderId="0" xfId="0" applyNumberFormat="1" applyFont="1" applyFill="1" applyBorder="1" applyAlignment="1" applyProtection="1">
      <alignment horizontal="left" vertical="top"/>
    </xf>
    <xf numFmtId="0" fontId="21" fillId="0" borderId="0" xfId="0" applyNumberFormat="1" applyFont="1" applyFill="1" applyBorder="1" applyAlignment="1" applyProtection="1">
      <alignment horizontal="left" vertical="top" wrapText="1"/>
    </xf>
    <xf numFmtId="0" fontId="18" fillId="0" borderId="0" xfId="0" applyNumberFormat="1" applyFont="1" applyFill="1" applyBorder="1" applyAlignment="1" applyProtection="1">
      <alignment horizontal="left" vertical="top" wrapText="1"/>
    </xf>
    <xf numFmtId="0" fontId="18" fillId="0" borderId="0" xfId="0" applyNumberFormat="1" applyFont="1" applyFill="1" applyBorder="1" applyAlignment="1" applyProtection="1">
      <alignment horizontal="center" wrapText="1"/>
    </xf>
    <xf numFmtId="0" fontId="18" fillId="0" borderId="0" xfId="0" applyNumberFormat="1" applyFont="1" applyFill="1" applyBorder="1" applyAlignment="1" applyProtection="1">
      <alignment horizontal="center" vertical="center"/>
    </xf>
    <xf numFmtId="0" fontId="37" fillId="0" borderId="0" xfId="0" applyFont="1" applyAlignment="1">
      <alignment horizontal="left" vertical="center" wrapText="1"/>
    </xf>
    <xf numFmtId="0" fontId="11" fillId="3" borderId="0" xfId="0" applyNumberFormat="1" applyFont="1" applyFill="1" applyBorder="1" applyAlignment="1" applyProtection="1">
      <alignment horizontal="center" vertical="center"/>
    </xf>
    <xf numFmtId="0" fontId="16" fillId="0" borderId="0" xfId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ourier New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ourier New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ourier New"/>
        <scheme val="none"/>
      </font>
      <numFmt numFmtId="0" formatCode="General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ourier New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Light16"/>
  <colors>
    <mruColors>
      <color rgb="FF0000FF"/>
      <color rgb="FFC6E0B4"/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26" Type="http://schemas.openxmlformats.org/officeDocument/2006/relationships/image" Target="../media/image28.emf"/><Relationship Id="rId3" Type="http://schemas.openxmlformats.org/officeDocument/2006/relationships/image" Target="../media/image5.emf"/><Relationship Id="rId21" Type="http://schemas.openxmlformats.org/officeDocument/2006/relationships/image" Target="../media/image23.emf"/><Relationship Id="rId7" Type="http://schemas.openxmlformats.org/officeDocument/2006/relationships/image" Target="../media/image9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0" Type="http://schemas.openxmlformats.org/officeDocument/2006/relationships/image" Target="../media/image22.emf"/><Relationship Id="rId29" Type="http://schemas.openxmlformats.org/officeDocument/2006/relationships/image" Target="../media/image31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5" Type="http://schemas.openxmlformats.org/officeDocument/2006/relationships/image" Target="../media/image7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10" Type="http://schemas.openxmlformats.org/officeDocument/2006/relationships/image" Target="../media/image12.emf"/><Relationship Id="rId19" Type="http://schemas.openxmlformats.org/officeDocument/2006/relationships/image" Target="../media/image21.emf"/><Relationship Id="rId31" Type="http://schemas.openxmlformats.org/officeDocument/2006/relationships/image" Target="../media/image3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312420</xdr:colOff>
      <xdr:row>3</xdr:row>
      <xdr:rowOff>538362</xdr:rowOff>
    </xdr:from>
    <xdr:to>
      <xdr:col>11</xdr:col>
      <xdr:colOff>1309772</xdr:colOff>
      <xdr:row>21</xdr:row>
      <xdr:rowOff>160020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3320" y="1452762"/>
          <a:ext cx="6300872" cy="441463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</xdr:colOff>
      <xdr:row>4</xdr:row>
      <xdr:rowOff>161121</xdr:rowOff>
    </xdr:from>
    <xdr:to>
      <xdr:col>11</xdr:col>
      <xdr:colOff>1318260</xdr:colOff>
      <xdr:row>14</xdr:row>
      <xdr:rowOff>358140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2820" y="1662261"/>
          <a:ext cx="6743700" cy="371745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23</xdr:row>
      <xdr:rowOff>95250</xdr:rowOff>
    </xdr:from>
    <xdr:to>
      <xdr:col>1</xdr:col>
      <xdr:colOff>302953</xdr:colOff>
      <xdr:row>25</xdr:row>
      <xdr:rowOff>95250</xdr:rowOff>
    </xdr:to>
    <xdr:pic>
      <xdr:nvPicPr>
        <xdr:cNvPr id="2" name="Attēls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58690"/>
          <a:ext cx="912552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23</xdr:row>
      <xdr:rowOff>142875</xdr:rowOff>
    </xdr:from>
    <xdr:to>
      <xdr:col>2</xdr:col>
      <xdr:colOff>600075</xdr:colOff>
      <xdr:row>25</xdr:row>
      <xdr:rowOff>66907</xdr:rowOff>
    </xdr:to>
    <xdr:pic>
      <xdr:nvPicPr>
        <xdr:cNvPr id="3" name="Attēls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4806315"/>
          <a:ext cx="828675" cy="335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26</xdr:row>
      <xdr:rowOff>28576</xdr:rowOff>
    </xdr:from>
    <xdr:to>
      <xdr:col>2</xdr:col>
      <xdr:colOff>606422</xdr:colOff>
      <xdr:row>28</xdr:row>
      <xdr:rowOff>85725</xdr:rowOff>
    </xdr:to>
    <xdr:pic>
      <xdr:nvPicPr>
        <xdr:cNvPr id="4" name="Attēls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286376"/>
          <a:ext cx="1177922" cy="445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29</xdr:row>
      <xdr:rowOff>28575</xdr:rowOff>
    </xdr:from>
    <xdr:to>
      <xdr:col>2</xdr:col>
      <xdr:colOff>586220</xdr:colOff>
      <xdr:row>29</xdr:row>
      <xdr:rowOff>180975</xdr:rowOff>
    </xdr:to>
    <xdr:pic>
      <xdr:nvPicPr>
        <xdr:cNvPr id="5" name="Attēls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5857875"/>
          <a:ext cx="51954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30</xdr:row>
      <xdr:rowOff>161925</xdr:rowOff>
    </xdr:from>
    <xdr:to>
      <xdr:col>2</xdr:col>
      <xdr:colOff>342900</xdr:colOff>
      <xdr:row>32</xdr:row>
      <xdr:rowOff>96754</xdr:rowOff>
    </xdr:to>
    <xdr:pic>
      <xdr:nvPicPr>
        <xdr:cNvPr id="6" name="Attēls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196965"/>
          <a:ext cx="1171575" cy="36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323851</xdr:colOff>
      <xdr:row>31</xdr:row>
      <xdr:rowOff>57151</xdr:rowOff>
    </xdr:from>
    <xdr:to>
      <xdr:col>2</xdr:col>
      <xdr:colOff>490903</xdr:colOff>
      <xdr:row>31</xdr:row>
      <xdr:rowOff>171450</xdr:rowOff>
    </xdr:to>
    <xdr:pic>
      <xdr:nvPicPr>
        <xdr:cNvPr id="7" name="Attēls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1" y="6305551"/>
          <a:ext cx="167052" cy="114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36</xdr:row>
      <xdr:rowOff>180975</xdr:rowOff>
    </xdr:from>
    <xdr:to>
      <xdr:col>1</xdr:col>
      <xdr:colOff>542925</xdr:colOff>
      <xdr:row>38</xdr:row>
      <xdr:rowOff>148074</xdr:rowOff>
    </xdr:to>
    <xdr:pic>
      <xdr:nvPicPr>
        <xdr:cNvPr id="8" name="Attēls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442835"/>
          <a:ext cx="752475" cy="34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41</xdr:row>
      <xdr:rowOff>114300</xdr:rowOff>
    </xdr:from>
    <xdr:to>
      <xdr:col>2</xdr:col>
      <xdr:colOff>647701</xdr:colOff>
      <xdr:row>43</xdr:row>
      <xdr:rowOff>141970</xdr:rowOff>
    </xdr:to>
    <xdr:pic>
      <xdr:nvPicPr>
        <xdr:cNvPr id="9" name="Attēls 1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1" y="8404860"/>
          <a:ext cx="1219200" cy="39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43</xdr:row>
      <xdr:rowOff>180976</xdr:rowOff>
    </xdr:from>
    <xdr:to>
      <xdr:col>1</xdr:col>
      <xdr:colOff>400051</xdr:colOff>
      <xdr:row>45</xdr:row>
      <xdr:rowOff>3286</xdr:rowOff>
    </xdr:to>
    <xdr:pic>
      <xdr:nvPicPr>
        <xdr:cNvPr id="10" name="Attēls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8837296"/>
          <a:ext cx="895350" cy="203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45</xdr:row>
      <xdr:rowOff>133350</xdr:rowOff>
    </xdr:from>
    <xdr:to>
      <xdr:col>1</xdr:col>
      <xdr:colOff>438150</xdr:colOff>
      <xdr:row>47</xdr:row>
      <xdr:rowOff>64770</xdr:rowOff>
    </xdr:to>
    <xdr:pic>
      <xdr:nvPicPr>
        <xdr:cNvPr id="11" name="Attēls 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170670"/>
          <a:ext cx="942975" cy="32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47</xdr:row>
      <xdr:rowOff>152400</xdr:rowOff>
    </xdr:from>
    <xdr:to>
      <xdr:col>1</xdr:col>
      <xdr:colOff>409575</xdr:colOff>
      <xdr:row>48</xdr:row>
      <xdr:rowOff>204255</xdr:rowOff>
    </xdr:to>
    <xdr:pic>
      <xdr:nvPicPr>
        <xdr:cNvPr id="12" name="Attēls 1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85960"/>
          <a:ext cx="962025" cy="234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49</xdr:row>
      <xdr:rowOff>66675</xdr:rowOff>
    </xdr:from>
    <xdr:to>
      <xdr:col>1</xdr:col>
      <xdr:colOff>371475</xdr:colOff>
      <xdr:row>51</xdr:row>
      <xdr:rowOff>139545</xdr:rowOff>
    </xdr:to>
    <xdr:pic>
      <xdr:nvPicPr>
        <xdr:cNvPr id="13" name="Attēls 1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888855"/>
          <a:ext cx="847725" cy="461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52</xdr:row>
      <xdr:rowOff>76200</xdr:rowOff>
    </xdr:from>
    <xdr:to>
      <xdr:col>2</xdr:col>
      <xdr:colOff>262503</xdr:colOff>
      <xdr:row>54</xdr:row>
      <xdr:rowOff>104775</xdr:rowOff>
    </xdr:to>
    <xdr:pic>
      <xdr:nvPicPr>
        <xdr:cNvPr id="14" name="Attēls 1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469880"/>
          <a:ext cx="1329303" cy="417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104776</xdr:rowOff>
    </xdr:from>
    <xdr:to>
      <xdr:col>1</xdr:col>
      <xdr:colOff>526750</xdr:colOff>
      <xdr:row>59</xdr:row>
      <xdr:rowOff>135256</xdr:rowOff>
    </xdr:to>
    <xdr:pic>
      <xdr:nvPicPr>
        <xdr:cNvPr id="15" name="Attēls 1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1443336"/>
          <a:ext cx="49817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62</xdr:row>
      <xdr:rowOff>123825</xdr:rowOff>
    </xdr:from>
    <xdr:to>
      <xdr:col>2</xdr:col>
      <xdr:colOff>352425</xdr:colOff>
      <xdr:row>64</xdr:row>
      <xdr:rowOff>134700</xdr:rowOff>
    </xdr:to>
    <xdr:pic>
      <xdr:nvPicPr>
        <xdr:cNvPr id="16" name="Attēls 2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2475845"/>
          <a:ext cx="904875" cy="376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238126</xdr:colOff>
      <xdr:row>66</xdr:row>
      <xdr:rowOff>66675</xdr:rowOff>
    </xdr:from>
    <xdr:to>
      <xdr:col>6</xdr:col>
      <xdr:colOff>561976</xdr:colOff>
      <xdr:row>68</xdr:row>
      <xdr:rowOff>139760</xdr:rowOff>
    </xdr:to>
    <xdr:pic>
      <xdr:nvPicPr>
        <xdr:cNvPr id="17" name="Attēls 2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5606" y="13150215"/>
          <a:ext cx="1543050" cy="461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590551</xdr:colOff>
      <xdr:row>67</xdr:row>
      <xdr:rowOff>19050</xdr:rowOff>
    </xdr:from>
    <xdr:to>
      <xdr:col>7</xdr:col>
      <xdr:colOff>552451</xdr:colOff>
      <xdr:row>68</xdr:row>
      <xdr:rowOff>28575</xdr:rowOff>
    </xdr:to>
    <xdr:pic>
      <xdr:nvPicPr>
        <xdr:cNvPr id="18" name="Attēls 2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7231" y="13285470"/>
          <a:ext cx="571500" cy="215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68</xdr:row>
      <xdr:rowOff>171450</xdr:rowOff>
    </xdr:from>
    <xdr:to>
      <xdr:col>1</xdr:col>
      <xdr:colOff>592259</xdr:colOff>
      <xdr:row>71</xdr:row>
      <xdr:rowOff>112395</xdr:rowOff>
    </xdr:to>
    <xdr:pic>
      <xdr:nvPicPr>
        <xdr:cNvPr id="19" name="Attēls 2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3643610"/>
          <a:ext cx="1182809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75</xdr:row>
      <xdr:rowOff>123825</xdr:rowOff>
    </xdr:from>
    <xdr:to>
      <xdr:col>6</xdr:col>
      <xdr:colOff>446525</xdr:colOff>
      <xdr:row>77</xdr:row>
      <xdr:rowOff>95250</xdr:rowOff>
    </xdr:to>
    <xdr:pic>
      <xdr:nvPicPr>
        <xdr:cNvPr id="20" name="Attēls 2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14914245"/>
          <a:ext cx="37032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466726</xdr:colOff>
      <xdr:row>76</xdr:row>
      <xdr:rowOff>19050</xdr:rowOff>
    </xdr:from>
    <xdr:to>
      <xdr:col>6</xdr:col>
      <xdr:colOff>608480</xdr:colOff>
      <xdr:row>77</xdr:row>
      <xdr:rowOff>0</xdr:rowOff>
    </xdr:to>
    <xdr:pic>
      <xdr:nvPicPr>
        <xdr:cNvPr id="21" name="Attēls 3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3406" y="14992350"/>
          <a:ext cx="141754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419101</xdr:colOff>
      <xdr:row>73</xdr:row>
      <xdr:rowOff>28575</xdr:rowOff>
    </xdr:from>
    <xdr:to>
      <xdr:col>7</xdr:col>
      <xdr:colOff>560855</xdr:colOff>
      <xdr:row>74</xdr:row>
      <xdr:rowOff>9525</xdr:rowOff>
    </xdr:to>
    <xdr:pic>
      <xdr:nvPicPr>
        <xdr:cNvPr id="22" name="Attēls 3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5381" y="14437995"/>
          <a:ext cx="141754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65</xdr:row>
      <xdr:rowOff>1</xdr:rowOff>
    </xdr:from>
    <xdr:to>
      <xdr:col>1</xdr:col>
      <xdr:colOff>561975</xdr:colOff>
      <xdr:row>65</xdr:row>
      <xdr:rowOff>172503</xdr:rowOff>
    </xdr:to>
    <xdr:pic>
      <xdr:nvPicPr>
        <xdr:cNvPr id="23" name="Attēls 3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2900661"/>
          <a:ext cx="1171574" cy="172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81</xdr:row>
      <xdr:rowOff>76200</xdr:rowOff>
    </xdr:from>
    <xdr:to>
      <xdr:col>1</xdr:col>
      <xdr:colOff>562552</xdr:colOff>
      <xdr:row>83</xdr:row>
      <xdr:rowOff>154305</xdr:rowOff>
    </xdr:to>
    <xdr:pic>
      <xdr:nvPicPr>
        <xdr:cNvPr id="24" name="Attēls 36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994380"/>
          <a:ext cx="953077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81</xdr:row>
      <xdr:rowOff>114300</xdr:rowOff>
    </xdr:from>
    <xdr:to>
      <xdr:col>6</xdr:col>
      <xdr:colOff>600075</xdr:colOff>
      <xdr:row>83</xdr:row>
      <xdr:rowOff>108184</xdr:rowOff>
    </xdr:to>
    <xdr:pic>
      <xdr:nvPicPr>
        <xdr:cNvPr id="25" name="Attēls 3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5180" y="16032480"/>
          <a:ext cx="1171575" cy="382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87</xdr:row>
      <xdr:rowOff>1</xdr:rowOff>
    </xdr:from>
    <xdr:to>
      <xdr:col>2</xdr:col>
      <xdr:colOff>598219</xdr:colOff>
      <xdr:row>91</xdr:row>
      <xdr:rowOff>47625</xdr:rowOff>
    </xdr:to>
    <xdr:pic>
      <xdr:nvPicPr>
        <xdr:cNvPr id="28" name="Attēls 4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17137381"/>
          <a:ext cx="1798368" cy="77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92</xdr:row>
      <xdr:rowOff>38100</xdr:rowOff>
    </xdr:from>
    <xdr:to>
      <xdr:col>2</xdr:col>
      <xdr:colOff>200026</xdr:colOff>
      <xdr:row>94</xdr:row>
      <xdr:rowOff>135695</xdr:rowOff>
    </xdr:to>
    <xdr:pic>
      <xdr:nvPicPr>
        <xdr:cNvPr id="29" name="Attēls 4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8089880"/>
          <a:ext cx="1352550" cy="463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95</xdr:row>
      <xdr:rowOff>57151</xdr:rowOff>
    </xdr:from>
    <xdr:to>
      <xdr:col>1</xdr:col>
      <xdr:colOff>525989</xdr:colOff>
      <xdr:row>97</xdr:row>
      <xdr:rowOff>114300</xdr:rowOff>
    </xdr:to>
    <xdr:pic>
      <xdr:nvPicPr>
        <xdr:cNvPr id="30" name="Attēls 44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8657571"/>
          <a:ext cx="792689" cy="445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93</xdr:row>
      <xdr:rowOff>19051</xdr:rowOff>
    </xdr:from>
    <xdr:to>
      <xdr:col>3</xdr:col>
      <xdr:colOff>582561</xdr:colOff>
      <xdr:row>94</xdr:row>
      <xdr:rowOff>57151</xdr:rowOff>
    </xdr:to>
    <xdr:pic>
      <xdr:nvPicPr>
        <xdr:cNvPr id="31" name="Attēls 4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160" y="18253711"/>
          <a:ext cx="582561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97</xdr:row>
      <xdr:rowOff>161925</xdr:rowOff>
    </xdr:from>
    <xdr:to>
      <xdr:col>2</xdr:col>
      <xdr:colOff>762000</xdr:colOff>
      <xdr:row>99</xdr:row>
      <xdr:rowOff>50279</xdr:rowOff>
    </xdr:to>
    <xdr:pic>
      <xdr:nvPicPr>
        <xdr:cNvPr id="32" name="Attēls 46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150965"/>
          <a:ext cx="1933575" cy="254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100</xdr:row>
      <xdr:rowOff>95251</xdr:rowOff>
    </xdr:from>
    <xdr:to>
      <xdr:col>2</xdr:col>
      <xdr:colOff>247789</xdr:colOff>
      <xdr:row>102</xdr:row>
      <xdr:rowOff>123825</xdr:rowOff>
    </xdr:to>
    <xdr:pic>
      <xdr:nvPicPr>
        <xdr:cNvPr id="33" name="Attēls 47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9663411"/>
          <a:ext cx="1409838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101</xdr:row>
      <xdr:rowOff>1</xdr:rowOff>
    </xdr:from>
    <xdr:to>
      <xdr:col>3</xdr:col>
      <xdr:colOff>562841</xdr:colOff>
      <xdr:row>102</xdr:row>
      <xdr:rowOff>57151</xdr:rowOff>
    </xdr:to>
    <xdr:pic>
      <xdr:nvPicPr>
        <xdr:cNvPr id="34" name="Attēls 4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160" y="19766281"/>
          <a:ext cx="562841" cy="24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2</xdr:col>
      <xdr:colOff>790575</xdr:colOff>
      <xdr:row>105</xdr:row>
      <xdr:rowOff>522</xdr:rowOff>
    </xdr:to>
    <xdr:pic>
      <xdr:nvPicPr>
        <xdr:cNvPr id="35" name="Attēls 49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22540"/>
          <a:ext cx="2009775" cy="183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107</xdr:row>
      <xdr:rowOff>180975</xdr:rowOff>
    </xdr:from>
    <xdr:to>
      <xdr:col>2</xdr:col>
      <xdr:colOff>762000</xdr:colOff>
      <xdr:row>109</xdr:row>
      <xdr:rowOff>108585</xdr:rowOff>
    </xdr:to>
    <xdr:pic>
      <xdr:nvPicPr>
        <xdr:cNvPr id="37" name="Attēls 5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1075015"/>
          <a:ext cx="193357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111</xdr:row>
      <xdr:rowOff>200025</xdr:rowOff>
    </xdr:from>
    <xdr:to>
      <xdr:col>0</xdr:col>
      <xdr:colOff>590550</xdr:colOff>
      <xdr:row>113</xdr:row>
      <xdr:rowOff>34290</xdr:rowOff>
    </xdr:to>
    <xdr:pic>
      <xdr:nvPicPr>
        <xdr:cNvPr id="38" name="Attēls 5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863685"/>
          <a:ext cx="561975" cy="215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C2:D10" totalsRowShown="0" headerRowDxfId="6" dataDxfId="4" headerRowBorderDxfId="5" tableBorderDxfId="3" totalsRowBorderDxfId="2">
  <autoFilter ref="C2:D10"/>
  <tableColumns count="2">
    <tableColumn id="1" name="Nosaukums" dataDxfId="1"/>
    <tableColumn id="2" name="gk kN/m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2"/>
  <sheetViews>
    <sheetView showGridLines="0" showRowColHeaders="0" zoomScaleNormal="100" workbookViewId="0">
      <selection activeCell="F19" sqref="F19"/>
    </sheetView>
  </sheetViews>
  <sheetFormatPr defaultColWidth="0" defaultRowHeight="14.4" zeroHeight="1" x14ac:dyDescent="0.25"/>
  <cols>
    <col min="1" max="1" width="31.88671875" style="2" customWidth="1"/>
    <col min="2" max="4" width="13.77734375" style="2" customWidth="1"/>
    <col min="5" max="5" width="30.77734375" style="2" customWidth="1"/>
    <col min="6" max="6" width="1" style="2" customWidth="1"/>
    <col min="7" max="7" width="34.33203125" style="2" customWidth="1"/>
    <col min="8" max="9" width="13.77734375" style="2" customWidth="1"/>
    <col min="10" max="10" width="8.109375" style="2" customWidth="1"/>
    <col min="11" max="11" width="7.33203125" style="2" customWidth="1"/>
    <col min="12" max="12" width="30.77734375" style="2" customWidth="1"/>
    <col min="13" max="16384" width="8.88671875" style="2" hidden="1"/>
  </cols>
  <sheetData>
    <row r="1" spans="1:12" x14ac:dyDescent="0.25">
      <c r="A1" s="79" t="s">
        <v>229</v>
      </c>
      <c r="B1" s="79"/>
      <c r="C1" s="79"/>
      <c r="D1" s="79"/>
      <c r="E1" s="79"/>
      <c r="G1" s="79" t="s">
        <v>245</v>
      </c>
      <c r="H1" s="79"/>
      <c r="I1" s="79"/>
      <c r="J1" s="79"/>
      <c r="K1" s="79"/>
      <c r="L1" s="79"/>
    </row>
    <row r="2" spans="1:12" ht="15" thickBot="1" x14ac:dyDescent="0.3">
      <c r="A2" s="16" t="s">
        <v>224</v>
      </c>
      <c r="B2" s="16" t="s">
        <v>10</v>
      </c>
      <c r="C2" s="16" t="s">
        <v>17</v>
      </c>
      <c r="D2" s="20" t="s">
        <v>225</v>
      </c>
      <c r="E2" s="16" t="s">
        <v>230</v>
      </c>
      <c r="G2" s="17" t="s">
        <v>224</v>
      </c>
      <c r="H2" s="17" t="s">
        <v>10</v>
      </c>
      <c r="I2" s="17" t="s">
        <v>17</v>
      </c>
      <c r="J2" s="83" t="s">
        <v>225</v>
      </c>
      <c r="K2" s="84"/>
      <c r="L2" s="17" t="s">
        <v>230</v>
      </c>
    </row>
    <row r="3" spans="1:12" ht="44.4" thickTop="1" thickBot="1" x14ac:dyDescent="0.3">
      <c r="A3" s="10" t="s">
        <v>222</v>
      </c>
      <c r="B3" s="12" t="s">
        <v>226</v>
      </c>
      <c r="C3" s="18" t="s">
        <v>18</v>
      </c>
      <c r="D3" s="21"/>
      <c r="E3" s="36" t="str">
        <f>IF(ISNUMBER(D3),"","Ievadiet spāres laidumu")</f>
        <v>Ievadiet spāres laidumu</v>
      </c>
      <c r="G3" s="10" t="s">
        <v>246</v>
      </c>
      <c r="H3" s="11" t="s">
        <v>313</v>
      </c>
      <c r="I3" s="29" t="s">
        <v>68</v>
      </c>
      <c r="J3" s="19" t="str">
        <f>IF(ISNUMBER(D10),sparem_matematika!$D$105,"")</f>
        <v/>
      </c>
      <c r="K3" s="30" t="s">
        <v>248</v>
      </c>
      <c r="L3" s="37" t="str">
        <f>IF(J3&lt;100,"Spāres stiprība ir nodrošināta","Palielieniet spāres šķērsgriezuma parametrus")</f>
        <v>Palielieniet spāres šķērsgriezuma parametrus</v>
      </c>
    </row>
    <row r="4" spans="1:12" ht="44.4" thickTop="1" thickBot="1" x14ac:dyDescent="0.3">
      <c r="A4" s="10" t="s">
        <v>241</v>
      </c>
      <c r="B4" s="12" t="s">
        <v>310</v>
      </c>
      <c r="C4" s="18" t="s">
        <v>18</v>
      </c>
      <c r="D4" s="21"/>
      <c r="E4" s="36" t="str">
        <f>IF(ISNUMBER(D4),"","Ievadiet spāres pārkares garumu")</f>
        <v>Ievadiet spāres pārkares garumu</v>
      </c>
      <c r="G4" s="10" t="s">
        <v>247</v>
      </c>
      <c r="H4" s="11" t="s">
        <v>314</v>
      </c>
      <c r="I4" s="29" t="s">
        <v>68</v>
      </c>
      <c r="J4" s="19" t="str">
        <f>IF(ISNUMBER(D10),sparem_matematika!$D$147,"")</f>
        <v/>
      </c>
      <c r="K4" s="30" t="s">
        <v>248</v>
      </c>
      <c r="L4" s="37" t="str">
        <f>IF(J4&lt;100,"Spāres stingums ir nodrošināts","Palielieniet spāres šķērsgriezuma parametrus")</f>
        <v>Palielieniet spāres šķērsgriezuma parametrus</v>
      </c>
    </row>
    <row r="5" spans="1:12" ht="15" thickTop="1" x14ac:dyDescent="0.25">
      <c r="A5" s="10" t="s">
        <v>4</v>
      </c>
      <c r="B5" s="12" t="s">
        <v>227</v>
      </c>
      <c r="C5" s="18" t="s">
        <v>18</v>
      </c>
      <c r="D5" s="21"/>
      <c r="E5" s="36" t="str">
        <f>IF(ISNUMBER(D5),"","Ievadiet spāru soli")</f>
        <v>Ievadiet spāru soli</v>
      </c>
    </row>
    <row r="6" spans="1:12" x14ac:dyDescent="0.25">
      <c r="A6" s="10" t="s">
        <v>223</v>
      </c>
      <c r="B6" s="23" t="s">
        <v>239</v>
      </c>
      <c r="C6" s="24" t="s">
        <v>228</v>
      </c>
      <c r="D6" s="25"/>
      <c r="E6" s="36" t="str">
        <f>IF(ISNUMBER(D6),"","Ievadiet jumta slīpumu")</f>
        <v>Ievadiet jumta slīpumu</v>
      </c>
    </row>
    <row r="7" spans="1:12" ht="14.4" customHeight="1" x14ac:dyDescent="0.25">
      <c r="A7" s="22" t="s">
        <v>300</v>
      </c>
      <c r="B7" s="82"/>
      <c r="C7" s="82"/>
      <c r="D7" s="82"/>
      <c r="E7" s="36" t="str">
        <f>IF(ISTEXT(B7),"","Izvēlieties jumta tipu")</f>
        <v>Izvēlieties jumta tipu</v>
      </c>
    </row>
    <row r="8" spans="1:12" ht="28.8" x14ac:dyDescent="0.25">
      <c r="A8" s="10" t="s">
        <v>237</v>
      </c>
      <c r="B8" s="26" t="s">
        <v>311</v>
      </c>
      <c r="C8" s="27" t="s">
        <v>238</v>
      </c>
      <c r="D8" s="40" t="e">
        <f>VLOOKUP(B7,Table1[],2,FALSE)</f>
        <v>#N/A</v>
      </c>
      <c r="E8" s="37"/>
    </row>
    <row r="9" spans="1:12" ht="28.8" x14ac:dyDescent="0.25">
      <c r="A9" s="10" t="s">
        <v>231</v>
      </c>
      <c r="B9" s="12" t="s">
        <v>232</v>
      </c>
      <c r="C9" s="18" t="s">
        <v>63</v>
      </c>
      <c r="D9" s="28"/>
      <c r="E9" s="36" t="str">
        <f>IF(ISNUMBER(D9),"","Ievadiet spāres šķērsgriezuma augstumu")</f>
        <v>Ievadiet spāres šķērsgriezuma augstumu</v>
      </c>
    </row>
    <row r="10" spans="1:12" ht="28.8" x14ac:dyDescent="0.25">
      <c r="A10" s="10" t="s">
        <v>234</v>
      </c>
      <c r="B10" s="12" t="s">
        <v>235</v>
      </c>
      <c r="C10" s="18" t="s">
        <v>63</v>
      </c>
      <c r="D10" s="28"/>
      <c r="E10" s="36" t="str">
        <f>IF(ISNUMBER(D10),"","Ievadiet spāres šķērsgriezuma platumu")</f>
        <v>Ievadiet spāres šķērsgriezuma platumu</v>
      </c>
    </row>
    <row r="11" spans="1:12" x14ac:dyDescent="0.25">
      <c r="A11" s="80" t="s">
        <v>236</v>
      </c>
      <c r="B11" s="80"/>
      <c r="C11" s="80"/>
      <c r="D11" s="81"/>
      <c r="E11" s="80"/>
    </row>
    <row r="12" spans="1:12" ht="15.6" x14ac:dyDescent="0.25">
      <c r="A12" s="10" t="s">
        <v>240</v>
      </c>
      <c r="B12" s="12" t="s">
        <v>312</v>
      </c>
      <c r="C12" s="12" t="s">
        <v>238</v>
      </c>
      <c r="D12" s="12">
        <v>1.25</v>
      </c>
      <c r="E12" s="10"/>
    </row>
    <row r="13" spans="1:12" ht="28.8" x14ac:dyDescent="0.25">
      <c r="A13" s="10" t="s">
        <v>9</v>
      </c>
      <c r="B13" s="12"/>
      <c r="C13" s="12"/>
      <c r="D13" s="12">
        <v>1.5</v>
      </c>
      <c r="E13" s="10"/>
    </row>
    <row r="14" spans="1:12" ht="28.8" x14ac:dyDescent="0.25">
      <c r="A14" s="10" t="s">
        <v>242</v>
      </c>
      <c r="B14" s="12"/>
      <c r="C14" s="12"/>
      <c r="D14" s="12">
        <v>1.35</v>
      </c>
      <c r="E14" s="10"/>
    </row>
    <row r="15" spans="1:12" ht="28.8" x14ac:dyDescent="0.25">
      <c r="A15" s="10" t="s">
        <v>243</v>
      </c>
      <c r="B15" s="12"/>
      <c r="C15" s="12"/>
      <c r="D15" s="12" t="s">
        <v>244</v>
      </c>
      <c r="E15" s="10"/>
    </row>
    <row r="16" spans="1:12" x14ac:dyDescent="0.25">
      <c r="A16" s="76" t="s">
        <v>505</v>
      </c>
      <c r="B16" s="76"/>
    </row>
    <row r="17" spans="1:5" x14ac:dyDescent="0.25">
      <c r="A17" s="77" t="s">
        <v>506</v>
      </c>
      <c r="B17" s="77"/>
      <c r="C17" s="77"/>
      <c r="D17" s="77"/>
      <c r="E17" s="77"/>
    </row>
    <row r="18" spans="1:5" x14ac:dyDescent="0.25">
      <c r="A18" s="78" t="s">
        <v>507</v>
      </c>
      <c r="B18" s="78"/>
      <c r="C18" s="78"/>
      <c r="D18" s="78"/>
      <c r="E18" s="78"/>
    </row>
    <row r="19" spans="1:5" x14ac:dyDescent="0.25">
      <c r="A19" s="78"/>
      <c r="B19" s="78"/>
      <c r="C19" s="78"/>
      <c r="D19" s="78"/>
      <c r="E19" s="78"/>
    </row>
    <row r="20" spans="1:5" x14ac:dyDescent="0.25"/>
    <row r="21" spans="1:5" x14ac:dyDescent="0.25"/>
    <row r="22" spans="1:5" x14ac:dyDescent="0.25"/>
  </sheetData>
  <sheetProtection selectLockedCells="1"/>
  <mergeCells count="8">
    <mergeCell ref="G1:L1"/>
    <mergeCell ref="B7:D7"/>
    <mergeCell ref="J2:K2"/>
    <mergeCell ref="A16:B16"/>
    <mergeCell ref="A17:E17"/>
    <mergeCell ref="A18:E19"/>
    <mergeCell ref="A1:E1"/>
    <mergeCell ref="A11:E11"/>
  </mergeCell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Dati!$C$3:$C$10</xm:f>
          </x14:formula1>
          <xm:sqref>B7:D7</xm:sqref>
        </x14:dataValidation>
        <x14:dataValidation type="list" allowBlank="1" showInputMessage="1" showErrorMessage="1">
          <x14:formula1>
            <xm:f>Dati!$F$2:$F$1001</xm:f>
          </x14:formula1>
          <xm:sqref>D3</xm:sqref>
        </x14:dataValidation>
        <x14:dataValidation type="list" allowBlank="1" showInputMessage="1" showErrorMessage="1">
          <x14:formula1>
            <xm:f>Dati!$F$2:$F$301</xm:f>
          </x14:formula1>
          <xm:sqref>D4</xm:sqref>
        </x14:dataValidation>
        <x14:dataValidation type="list" allowBlank="1" showInputMessage="1" showErrorMessage="1">
          <x14:formula1>
            <xm:f>Dati!$F$2:$F$251</xm:f>
          </x14:formula1>
          <xm:sqref>D5</xm:sqref>
        </x14:dataValidation>
        <x14:dataValidation type="list" allowBlank="1" showInputMessage="1" showErrorMessage="1">
          <x14:formula1>
            <xm:f>Dati!$G$2:$G$95</xm:f>
          </x14:formula1>
          <xm:sqref>D6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47"/>
  <sheetViews>
    <sheetView topLeftCell="A90" zoomScale="85" zoomScaleNormal="85" workbookViewId="0">
      <selection activeCell="C104" sqref="C104"/>
    </sheetView>
  </sheetViews>
  <sheetFormatPr defaultColWidth="0" defaultRowHeight="13.8" zeroHeight="1" x14ac:dyDescent="0.25"/>
  <cols>
    <col min="1" max="1" width="45.44140625" style="43" customWidth="1"/>
    <col min="2" max="2" width="11.44140625" style="43" customWidth="1"/>
    <col min="3" max="3" width="36.88671875" style="43" bestFit="1" customWidth="1"/>
    <col min="4" max="4" width="10.77734375" style="43" customWidth="1"/>
    <col min="5" max="5" width="11.5546875" style="43" customWidth="1"/>
    <col min="6" max="6" width="53.5546875" style="43" hidden="1" customWidth="1"/>
    <col min="7" max="7" width="14.33203125" style="43" hidden="1" customWidth="1"/>
    <col min="8" max="16384" width="8.88671875" style="43" hidden="1"/>
  </cols>
  <sheetData>
    <row r="1" spans="1:5" x14ac:dyDescent="0.25">
      <c r="A1" s="87"/>
      <c r="B1" s="87"/>
      <c r="C1" s="87"/>
      <c r="D1" s="87"/>
      <c r="E1" s="87"/>
    </row>
    <row r="2" spans="1:5" x14ac:dyDescent="0.25">
      <c r="A2" s="87"/>
      <c r="B2" s="87"/>
      <c r="C2" s="87"/>
      <c r="D2" s="87"/>
      <c r="E2" s="87"/>
    </row>
    <row r="3" spans="1:5" x14ac:dyDescent="0.25">
      <c r="A3" s="44" t="s">
        <v>0</v>
      </c>
      <c r="B3" s="45" t="s">
        <v>10</v>
      </c>
      <c r="C3" s="46" t="s">
        <v>13</v>
      </c>
      <c r="D3" s="45" t="s">
        <v>16</v>
      </c>
      <c r="E3" s="45" t="s">
        <v>17</v>
      </c>
    </row>
    <row r="4" spans="1:5" x14ac:dyDescent="0.25">
      <c r="A4" s="45" t="s">
        <v>1</v>
      </c>
      <c r="B4" s="45" t="s">
        <v>11</v>
      </c>
      <c r="C4" s="45"/>
      <c r="D4" s="45">
        <f>'Spāru aprēķins'!$D$3</f>
        <v>0</v>
      </c>
      <c r="E4" s="45" t="s">
        <v>18</v>
      </c>
    </row>
    <row r="5" spans="1:5" ht="15" x14ac:dyDescent="0.25">
      <c r="A5" s="45" t="s">
        <v>2</v>
      </c>
      <c r="B5" s="45" t="s">
        <v>338</v>
      </c>
      <c r="C5" s="45">
        <v>0.86099999999999999</v>
      </c>
      <c r="D5" s="45">
        <f>'Spāru aprēķins'!D4</f>
        <v>0</v>
      </c>
      <c r="E5" s="45" t="s">
        <v>18</v>
      </c>
    </row>
    <row r="6" spans="1:5" ht="15" x14ac:dyDescent="0.25">
      <c r="A6" s="45" t="s">
        <v>3</v>
      </c>
      <c r="B6" s="45" t="s">
        <v>339</v>
      </c>
      <c r="C6" s="47" t="s">
        <v>22</v>
      </c>
      <c r="D6" s="45">
        <f>ck/COS(al)</f>
        <v>0</v>
      </c>
      <c r="E6" s="45" t="s">
        <v>18</v>
      </c>
    </row>
    <row r="7" spans="1:5" x14ac:dyDescent="0.25">
      <c r="A7" s="45" t="s">
        <v>4</v>
      </c>
      <c r="B7" s="45" t="s">
        <v>12</v>
      </c>
      <c r="C7" s="45"/>
      <c r="D7" s="45">
        <f>'Spāru aprēķins'!D5</f>
        <v>0</v>
      </c>
      <c r="E7" s="45" t="s">
        <v>18</v>
      </c>
    </row>
    <row r="8" spans="1:5" x14ac:dyDescent="0.25">
      <c r="A8" s="45" t="s">
        <v>5</v>
      </c>
      <c r="B8" s="45" t="s">
        <v>218</v>
      </c>
      <c r="C8" s="45"/>
      <c r="D8" s="45">
        <f>'Spāru aprēķins'!$D$6</f>
        <v>0</v>
      </c>
      <c r="E8" s="48">
        <v>0</v>
      </c>
    </row>
    <row r="9" spans="1:5" x14ac:dyDescent="0.25">
      <c r="A9" s="45" t="s">
        <v>6</v>
      </c>
      <c r="B9" s="45" t="s">
        <v>218</v>
      </c>
      <c r="C9" s="45" t="s">
        <v>23</v>
      </c>
      <c r="D9" s="45">
        <f>RADIANS(alg)</f>
        <v>0</v>
      </c>
      <c r="E9" s="45" t="s">
        <v>19</v>
      </c>
    </row>
    <row r="10" spans="1:5" ht="15" x14ac:dyDescent="0.25">
      <c r="A10" s="45" t="s">
        <v>7</v>
      </c>
      <c r="B10" s="45" t="s">
        <v>340</v>
      </c>
      <c r="C10" s="45" t="s">
        <v>24</v>
      </c>
      <c r="D10" s="45">
        <f>L/COS(al)</f>
        <v>0</v>
      </c>
      <c r="E10" s="45" t="s">
        <v>18</v>
      </c>
    </row>
    <row r="11" spans="1:5" ht="15" x14ac:dyDescent="0.25">
      <c r="A11" s="49" t="s">
        <v>341</v>
      </c>
      <c r="B11" s="45" t="s">
        <v>342</v>
      </c>
      <c r="C11" s="45"/>
      <c r="D11" s="45" t="e">
        <f>'Spāru aprēķins'!D8</f>
        <v>#N/A</v>
      </c>
      <c r="E11" s="45" t="s">
        <v>343</v>
      </c>
    </row>
    <row r="12" spans="1:5" ht="15" x14ac:dyDescent="0.25">
      <c r="A12" s="45" t="s">
        <v>179</v>
      </c>
      <c r="B12" s="45" t="s">
        <v>344</v>
      </c>
      <c r="C12" s="45" t="s">
        <v>25</v>
      </c>
      <c r="D12" s="45" t="e">
        <f>gko*a</f>
        <v>#N/A</v>
      </c>
      <c r="E12" s="45" t="s">
        <v>20</v>
      </c>
    </row>
    <row r="13" spans="1:5" ht="15" x14ac:dyDescent="0.25">
      <c r="A13" s="45" t="s">
        <v>180</v>
      </c>
      <c r="B13" s="45" t="s">
        <v>345</v>
      </c>
      <c r="C13" s="45" t="s">
        <v>26</v>
      </c>
      <c r="D13" s="45">
        <f>b/100*h/100*(co+Lo)</f>
        <v>0</v>
      </c>
      <c r="E13" s="45" t="s">
        <v>346</v>
      </c>
    </row>
    <row r="14" spans="1:5" ht="15" x14ac:dyDescent="0.25">
      <c r="A14" s="45" t="s">
        <v>181</v>
      </c>
      <c r="B14" s="45" t="s">
        <v>347</v>
      </c>
      <c r="C14" s="45" t="s">
        <v>21</v>
      </c>
      <c r="D14" s="45" t="e">
        <f>Vsp*5.5/(Lo+co)</f>
        <v>#DIV/0!</v>
      </c>
      <c r="E14" s="45" t="s">
        <v>20</v>
      </c>
    </row>
    <row r="15" spans="1:5" ht="15" x14ac:dyDescent="0.25">
      <c r="A15" s="45" t="s">
        <v>182</v>
      </c>
      <c r="B15" s="45" t="s">
        <v>348</v>
      </c>
      <c r="C15" s="45" t="s">
        <v>27</v>
      </c>
      <c r="D15" s="45" t="e">
        <f>gjk+gsk</f>
        <v>#N/A</v>
      </c>
      <c r="E15" s="45" t="s">
        <v>20</v>
      </c>
    </row>
    <row r="16" spans="1:5" ht="15" x14ac:dyDescent="0.25">
      <c r="A16" s="45" t="s">
        <v>183</v>
      </c>
      <c r="B16" s="45" t="s">
        <v>349</v>
      </c>
      <c r="C16" s="45" t="s">
        <v>28</v>
      </c>
      <c r="D16" s="45" t="e">
        <f>gk*COS(al)</f>
        <v>#N/A</v>
      </c>
      <c r="E16" s="45" t="s">
        <v>20</v>
      </c>
    </row>
    <row r="17" spans="1:6" ht="15" x14ac:dyDescent="0.25">
      <c r="A17" s="45" t="s">
        <v>8</v>
      </c>
      <c r="B17" s="45" t="s">
        <v>350</v>
      </c>
      <c r="C17" s="45">
        <v>1.35</v>
      </c>
      <c r="D17" s="45">
        <f>C17</f>
        <v>1.35</v>
      </c>
      <c r="E17" s="45"/>
      <c r="F17" s="85"/>
    </row>
    <row r="18" spans="1:6" ht="15" x14ac:dyDescent="0.25">
      <c r="A18" s="45"/>
      <c r="B18" s="45" t="s">
        <v>351</v>
      </c>
      <c r="C18" s="45">
        <v>0.9</v>
      </c>
      <c r="D18" s="45">
        <f>C18</f>
        <v>0.9</v>
      </c>
      <c r="E18" s="45"/>
      <c r="F18" s="85"/>
    </row>
    <row r="19" spans="1:6" ht="15" x14ac:dyDescent="0.25">
      <c r="A19" s="49" t="s">
        <v>352</v>
      </c>
      <c r="B19" s="45" t="s">
        <v>353</v>
      </c>
      <c r="C19" s="45"/>
      <c r="D19" s="45">
        <v>1.25</v>
      </c>
      <c r="E19" s="45" t="s">
        <v>343</v>
      </c>
    </row>
    <row r="20" spans="1:6" x14ac:dyDescent="0.25">
      <c r="A20" s="45" t="s">
        <v>184</v>
      </c>
      <c r="B20" s="45" t="s">
        <v>219</v>
      </c>
      <c r="C20" s="45" t="s">
        <v>29</v>
      </c>
      <c r="D20" s="45">
        <f>IF(alg&gt;30,0.8*((60-alg)/30),0.8)</f>
        <v>0.8</v>
      </c>
      <c r="E20" s="45"/>
    </row>
    <row r="21" spans="1:6" ht="15" x14ac:dyDescent="0.25">
      <c r="A21" s="45" t="s">
        <v>185</v>
      </c>
      <c r="B21" s="45" t="s">
        <v>354</v>
      </c>
      <c r="C21" s="45" t="s">
        <v>102</v>
      </c>
      <c r="D21" s="45">
        <f>so*mi*a</f>
        <v>0</v>
      </c>
      <c r="E21" s="45" t="s">
        <v>20</v>
      </c>
    </row>
    <row r="22" spans="1:6" ht="15" x14ac:dyDescent="0.25">
      <c r="A22" s="45" t="s">
        <v>186</v>
      </c>
      <c r="B22" s="45" t="s">
        <v>355</v>
      </c>
      <c r="C22" s="45" t="s">
        <v>30</v>
      </c>
      <c r="D22" s="45">
        <f>sk*(COS(al))^2</f>
        <v>0</v>
      </c>
      <c r="E22" s="45" t="s">
        <v>20</v>
      </c>
    </row>
    <row r="23" spans="1:6" ht="15" x14ac:dyDescent="0.25">
      <c r="A23" s="45" t="s">
        <v>187</v>
      </c>
      <c r="B23" s="45" t="s">
        <v>356</v>
      </c>
      <c r="C23" s="45">
        <v>0.66500000000000004</v>
      </c>
      <c r="D23" s="45">
        <f>C23</f>
        <v>0.66500000000000004</v>
      </c>
      <c r="E23" s="45" t="s">
        <v>343</v>
      </c>
    </row>
    <row r="24" spans="1:6" ht="15" x14ac:dyDescent="0.25">
      <c r="A24" s="45"/>
      <c r="B24" s="45" t="s">
        <v>357</v>
      </c>
      <c r="C24" s="45" t="s">
        <v>103</v>
      </c>
      <c r="D24" s="45">
        <f>wka*a</f>
        <v>0</v>
      </c>
      <c r="E24" s="45" t="s">
        <v>20</v>
      </c>
    </row>
    <row r="25" spans="1:6" ht="15" x14ac:dyDescent="0.25">
      <c r="A25" s="45" t="s">
        <v>188</v>
      </c>
      <c r="B25" s="45" t="s">
        <v>358</v>
      </c>
      <c r="C25" s="45">
        <v>0.92800000000000005</v>
      </c>
      <c r="D25" s="45">
        <f>C25</f>
        <v>0.92800000000000005</v>
      </c>
      <c r="E25" s="45" t="s">
        <v>343</v>
      </c>
    </row>
    <row r="26" spans="1:6" ht="15" x14ac:dyDescent="0.25">
      <c r="A26" s="45"/>
      <c r="B26" s="45" t="s">
        <v>359</v>
      </c>
      <c r="C26" s="45" t="s">
        <v>14</v>
      </c>
      <c r="D26" s="45">
        <f>wkup*a</f>
        <v>0</v>
      </c>
      <c r="E26" s="45" t="s">
        <v>20</v>
      </c>
    </row>
    <row r="27" spans="1:6" ht="15" x14ac:dyDescent="0.25">
      <c r="A27" s="45" t="s">
        <v>9</v>
      </c>
      <c r="B27" s="45" t="s">
        <v>360</v>
      </c>
      <c r="C27" s="45">
        <v>1.5</v>
      </c>
      <c r="D27" s="45">
        <f>C27</f>
        <v>1.5</v>
      </c>
      <c r="E27" s="45"/>
    </row>
    <row r="28" spans="1:6" ht="15" x14ac:dyDescent="0.25">
      <c r="A28" s="49" t="s">
        <v>361</v>
      </c>
      <c r="B28" s="45" t="s">
        <v>362</v>
      </c>
      <c r="C28" s="45" t="e">
        <f>gk*gfg</f>
        <v>#N/A</v>
      </c>
      <c r="D28" s="45" t="e">
        <f>gk*gfg</f>
        <v>#N/A</v>
      </c>
      <c r="E28" s="45" t="s">
        <v>20</v>
      </c>
    </row>
    <row r="29" spans="1:6" ht="15" x14ac:dyDescent="0.25">
      <c r="A29" s="45" t="s">
        <v>189</v>
      </c>
      <c r="B29" s="45" t="s">
        <v>363</v>
      </c>
      <c r="C29" s="45" t="s">
        <v>15</v>
      </c>
      <c r="D29" s="45" t="e">
        <f>gd*COS(al)</f>
        <v>#N/A</v>
      </c>
      <c r="E29" s="45" t="s">
        <v>20</v>
      </c>
    </row>
    <row r="30" spans="1:6" x14ac:dyDescent="0.25"/>
    <row r="31" spans="1:6" ht="13.5" customHeight="1" x14ac:dyDescent="0.25">
      <c r="A31" s="45" t="s">
        <v>190</v>
      </c>
      <c r="B31" s="45" t="s">
        <v>364</v>
      </c>
      <c r="C31" s="45" t="s">
        <v>31</v>
      </c>
      <c r="D31" s="45" t="e">
        <f>gd*SIN(al)</f>
        <v>#N/A</v>
      </c>
      <c r="E31" s="45" t="s">
        <v>20</v>
      </c>
    </row>
    <row r="32" spans="1:6" ht="15" x14ac:dyDescent="0.25">
      <c r="A32" s="45" t="s">
        <v>191</v>
      </c>
      <c r="B32" s="45" t="s">
        <v>365</v>
      </c>
      <c r="C32" s="45" t="s">
        <v>32</v>
      </c>
      <c r="D32" s="45">
        <f>sk*gfs</f>
        <v>0</v>
      </c>
      <c r="E32" s="45" t="s">
        <v>20</v>
      </c>
    </row>
    <row r="33" spans="1:6" ht="15" x14ac:dyDescent="0.25">
      <c r="A33" s="45" t="s">
        <v>192</v>
      </c>
      <c r="B33" s="45" t="s">
        <v>366</v>
      </c>
      <c r="C33" s="45" t="s">
        <v>104</v>
      </c>
      <c r="D33" s="45">
        <f>sd*(COS(al))^2</f>
        <v>0</v>
      </c>
      <c r="E33" s="45" t="s">
        <v>20</v>
      </c>
    </row>
    <row r="34" spans="1:6" ht="15" x14ac:dyDescent="0.25">
      <c r="A34" s="45" t="s">
        <v>193</v>
      </c>
      <c r="B34" s="45" t="s">
        <v>367</v>
      </c>
      <c r="C34" s="45" t="s">
        <v>105</v>
      </c>
      <c r="D34" s="45">
        <f>sd*COS(al)*SIN(al)</f>
        <v>0</v>
      </c>
      <c r="E34" s="45" t="s">
        <v>20</v>
      </c>
    </row>
    <row r="35" spans="1:6" ht="15" x14ac:dyDescent="0.25">
      <c r="A35" s="45" t="s">
        <v>194</v>
      </c>
      <c r="B35" s="45" t="s">
        <v>368</v>
      </c>
      <c r="C35" s="45" t="s">
        <v>106</v>
      </c>
      <c r="D35" s="45">
        <f>wk*gfs</f>
        <v>0</v>
      </c>
      <c r="E35" s="45" t="s">
        <v>20</v>
      </c>
    </row>
    <row r="36" spans="1:6" ht="15" x14ac:dyDescent="0.25">
      <c r="A36" s="45" t="s">
        <v>195</v>
      </c>
      <c r="B36" s="45" t="s">
        <v>369</v>
      </c>
      <c r="C36" s="45" t="s">
        <v>107</v>
      </c>
      <c r="D36" s="45">
        <f>wks*gfs</f>
        <v>0</v>
      </c>
      <c r="E36" s="45" t="s">
        <v>20</v>
      </c>
    </row>
    <row r="37" spans="1:6" ht="15" x14ac:dyDescent="0.25">
      <c r="A37" s="45" t="s">
        <v>33</v>
      </c>
      <c r="B37" s="45" t="s">
        <v>370</v>
      </c>
      <c r="C37" s="45">
        <v>0.7</v>
      </c>
      <c r="D37" s="45">
        <f>C37</f>
        <v>0.7</v>
      </c>
      <c r="E37" s="45"/>
      <c r="F37" s="86"/>
    </row>
    <row r="38" spans="1:6" ht="15" x14ac:dyDescent="0.25">
      <c r="A38" s="45" t="s">
        <v>34</v>
      </c>
      <c r="B38" s="45" t="s">
        <v>371</v>
      </c>
      <c r="C38" s="45">
        <v>0.6</v>
      </c>
      <c r="D38" s="45">
        <f>C38</f>
        <v>0.6</v>
      </c>
      <c r="E38" s="45"/>
      <c r="F38" s="86"/>
    </row>
    <row r="39" spans="1:6" ht="15" x14ac:dyDescent="0.25">
      <c r="A39" s="45" t="s">
        <v>220</v>
      </c>
      <c r="B39" s="45" t="s">
        <v>372</v>
      </c>
      <c r="C39" s="45" t="s">
        <v>108</v>
      </c>
      <c r="D39" s="45" t="e">
        <f>(Lo^2-2*co^2)/(2*Lo)</f>
        <v>#DIV/0!</v>
      </c>
      <c r="E39" s="45" t="s">
        <v>18</v>
      </c>
    </row>
    <row r="40" spans="1:6" x14ac:dyDescent="0.25">
      <c r="A40" s="89" t="s">
        <v>35</v>
      </c>
      <c r="B40" s="89"/>
      <c r="C40" s="89"/>
      <c r="D40" s="89"/>
      <c r="E40" s="89"/>
    </row>
    <row r="41" spans="1:6" ht="15" x14ac:dyDescent="0.25">
      <c r="A41" s="49" t="s">
        <v>373</v>
      </c>
      <c r="B41" s="45" t="s">
        <v>374</v>
      </c>
      <c r="C41" s="45" t="s">
        <v>109</v>
      </c>
      <c r="D41" s="45" t="e">
        <f>gd_90*(Lo^2-co^2)^2/(8*Lo^2)</f>
        <v>#N/A</v>
      </c>
      <c r="E41" s="45" t="s">
        <v>36</v>
      </c>
    </row>
    <row r="42" spans="1:6" ht="15" x14ac:dyDescent="0.25">
      <c r="A42" s="44" t="s">
        <v>37</v>
      </c>
      <c r="B42" s="45" t="s">
        <v>375</v>
      </c>
      <c r="C42" s="45" t="s">
        <v>110</v>
      </c>
      <c r="D42" s="45" t="e">
        <f>gd_90*co^2/2</f>
        <v>#N/A</v>
      </c>
      <c r="E42" s="45" t="s">
        <v>36</v>
      </c>
    </row>
    <row r="43" spans="1:6" ht="15" x14ac:dyDescent="0.25">
      <c r="A43" s="49" t="s">
        <v>376</v>
      </c>
      <c r="B43" s="45" t="s">
        <v>377</v>
      </c>
      <c r="C43" s="45" t="s">
        <v>111</v>
      </c>
      <c r="D43" s="45" t="e">
        <f>sd_90*(Lo^2-co^2)^2/(8*Lo^2)</f>
        <v>#DIV/0!</v>
      </c>
      <c r="E43" s="45" t="s">
        <v>36</v>
      </c>
    </row>
    <row r="44" spans="1:6" ht="15" x14ac:dyDescent="0.25">
      <c r="A44" s="44" t="s">
        <v>37</v>
      </c>
      <c r="B44" s="45" t="s">
        <v>378</v>
      </c>
      <c r="C44" s="45" t="s">
        <v>121</v>
      </c>
      <c r="D44" s="45">
        <f>sd_90*co^2/2</f>
        <v>0</v>
      </c>
      <c r="E44" s="45" t="s">
        <v>36</v>
      </c>
    </row>
    <row r="45" spans="1:6" ht="15" x14ac:dyDescent="0.25">
      <c r="A45" s="49" t="s">
        <v>379</v>
      </c>
      <c r="B45" s="45" t="s">
        <v>380</v>
      </c>
      <c r="C45" s="45" t="s">
        <v>112</v>
      </c>
      <c r="D45" s="45" t="e">
        <f>wd*(Lo^2-co^2)^2/(8*Lo^2)</f>
        <v>#DIV/0!</v>
      </c>
      <c r="E45" s="45" t="s">
        <v>36</v>
      </c>
    </row>
    <row r="46" spans="1:6" ht="15" x14ac:dyDescent="0.25">
      <c r="A46" s="44" t="s">
        <v>37</v>
      </c>
      <c r="B46" s="45" t="s">
        <v>381</v>
      </c>
      <c r="C46" s="45" t="s">
        <v>113</v>
      </c>
      <c r="D46" s="45">
        <f>wd*co^2/2</f>
        <v>0</v>
      </c>
      <c r="E46" s="45" t="s">
        <v>36</v>
      </c>
    </row>
    <row r="47" spans="1:6" ht="15" x14ac:dyDescent="0.25">
      <c r="A47" s="49" t="s">
        <v>382</v>
      </c>
      <c r="B47" s="45" t="s">
        <v>383</v>
      </c>
      <c r="C47" s="45" t="s">
        <v>114</v>
      </c>
      <c r="D47" s="45" t="e">
        <f>wds*(Lo^2-co^2)^2/(8*Lo^2)</f>
        <v>#DIV/0!</v>
      </c>
      <c r="E47" s="45" t="s">
        <v>36</v>
      </c>
    </row>
    <row r="48" spans="1:6" ht="15" x14ac:dyDescent="0.25">
      <c r="A48" s="44" t="s">
        <v>37</v>
      </c>
      <c r="B48" s="45" t="s">
        <v>384</v>
      </c>
      <c r="C48" s="45" t="s">
        <v>115</v>
      </c>
      <c r="D48" s="45">
        <f>wds*co^2/2</f>
        <v>0</v>
      </c>
      <c r="E48" s="45" t="s">
        <v>36</v>
      </c>
    </row>
    <row r="49" spans="1:7" ht="15" x14ac:dyDescent="0.25">
      <c r="A49" s="49" t="s">
        <v>385</v>
      </c>
      <c r="B49" s="45" t="s">
        <v>386</v>
      </c>
      <c r="C49" s="45" t="s">
        <v>122</v>
      </c>
      <c r="D49" s="45" t="e">
        <f>gd_90*(co+Lo)^2/(2*Lo)-gd_90*co</f>
        <v>#N/A</v>
      </c>
      <c r="E49" s="45" t="s">
        <v>38</v>
      </c>
      <c r="G49" s="50"/>
    </row>
    <row r="50" spans="1:7" ht="15" x14ac:dyDescent="0.25">
      <c r="A50" s="51" t="s">
        <v>39</v>
      </c>
      <c r="B50" s="45" t="s">
        <v>387</v>
      </c>
      <c r="C50" s="45" t="s">
        <v>123</v>
      </c>
      <c r="D50" s="45" t="e">
        <f>sd_90*(co+Lo)^2/(2*Lo)-sd_90*co</f>
        <v>#DIV/0!</v>
      </c>
      <c r="E50" s="45" t="s">
        <v>38</v>
      </c>
      <c r="G50" s="50"/>
    </row>
    <row r="51" spans="1:7" ht="15" x14ac:dyDescent="0.25">
      <c r="A51" s="51" t="s">
        <v>40</v>
      </c>
      <c r="B51" s="45" t="s">
        <v>388</v>
      </c>
      <c r="C51" s="45" t="s">
        <v>116</v>
      </c>
      <c r="D51" s="45" t="e">
        <f>wd*(co+Lo)^2/(2* Lo)-wd*co</f>
        <v>#DIV/0!</v>
      </c>
      <c r="E51" s="45" t="s">
        <v>38</v>
      </c>
      <c r="G51" s="50"/>
    </row>
    <row r="52" spans="1:7" ht="15" x14ac:dyDescent="0.25">
      <c r="A52" s="45" t="s">
        <v>41</v>
      </c>
      <c r="B52" s="45" t="s">
        <v>389</v>
      </c>
      <c r="C52" s="45" t="s">
        <v>117</v>
      </c>
      <c r="D52" s="45" t="e">
        <f>wds*(co+Lo)^2/(2*Lo)</f>
        <v>#DIV/0!</v>
      </c>
      <c r="E52" s="45" t="s">
        <v>38</v>
      </c>
    </row>
    <row r="53" spans="1:7" ht="15" x14ac:dyDescent="0.25">
      <c r="A53" s="52" t="s">
        <v>42</v>
      </c>
      <c r="B53" s="45" t="s">
        <v>390</v>
      </c>
      <c r="C53" s="45" t="s">
        <v>125</v>
      </c>
      <c r="D53" s="45" t="e">
        <f>gk_90*gfmin*(co+Lo)^2/(2*Lo)</f>
        <v>#N/A</v>
      </c>
      <c r="E53" s="45" t="s">
        <v>38</v>
      </c>
    </row>
    <row r="54" spans="1:7" ht="15" x14ac:dyDescent="0.25">
      <c r="A54" s="45" t="s">
        <v>43</v>
      </c>
      <c r="B54" s="45" t="s">
        <v>391</v>
      </c>
      <c r="C54" s="45" t="s">
        <v>118</v>
      </c>
      <c r="D54" s="45" t="e">
        <f>Vdws-Vdgmin</f>
        <v>#DIV/0!</v>
      </c>
      <c r="E54" s="45" t="s">
        <v>38</v>
      </c>
    </row>
    <row r="55" spans="1:7" x14ac:dyDescent="0.25">
      <c r="A55" s="90" t="s">
        <v>44</v>
      </c>
      <c r="B55" s="90"/>
      <c r="C55" s="90"/>
      <c r="D55" s="90"/>
      <c r="E55" s="90"/>
    </row>
    <row r="56" spans="1:7" ht="15" x14ac:dyDescent="0.25">
      <c r="A56" s="45" t="s">
        <v>45</v>
      </c>
      <c r="B56" s="45" t="s">
        <v>392</v>
      </c>
      <c r="C56" s="45" t="s">
        <v>119</v>
      </c>
      <c r="D56" s="45" t="e">
        <f>100*(MdgL+MdsL)</f>
        <v>#N/A</v>
      </c>
      <c r="E56" s="45" t="s">
        <v>46</v>
      </c>
    </row>
    <row r="57" spans="1:7" ht="15" x14ac:dyDescent="0.25">
      <c r="A57" s="53" t="s">
        <v>47</v>
      </c>
      <c r="B57" s="45" t="s">
        <v>393</v>
      </c>
      <c r="C57" s="45" t="s">
        <v>120</v>
      </c>
      <c r="D57" s="45" t="e">
        <f>100*(Mdgc+Mdsc)</f>
        <v>#N/A</v>
      </c>
      <c r="E57" s="45" t="s">
        <v>46</v>
      </c>
    </row>
    <row r="58" spans="1:7" ht="15" x14ac:dyDescent="0.25">
      <c r="A58" s="45" t="s">
        <v>394</v>
      </c>
      <c r="B58" s="45" t="s">
        <v>395</v>
      </c>
      <c r="C58" s="45" t="s">
        <v>48</v>
      </c>
      <c r="D58" s="45" t="e">
        <f>100*(MdgL+MdwL+(psios*MdsL))</f>
        <v>#N/A</v>
      </c>
      <c r="E58" s="45" t="s">
        <v>46</v>
      </c>
    </row>
    <row r="59" spans="1:7" ht="15" x14ac:dyDescent="0.25">
      <c r="A59" s="53" t="s">
        <v>47</v>
      </c>
      <c r="B59" s="45" t="s">
        <v>396</v>
      </c>
      <c r="C59" s="45" t="s">
        <v>49</v>
      </c>
      <c r="D59" s="45" t="e">
        <f>100*(Mdgc+Mdwc+psios*Mdsc)</f>
        <v>#N/A</v>
      </c>
      <c r="E59" s="45" t="s">
        <v>46</v>
      </c>
    </row>
    <row r="60" spans="1:7" x14ac:dyDescent="0.25"/>
    <row r="61" spans="1:7" ht="15" x14ac:dyDescent="0.25">
      <c r="A61" s="45" t="s">
        <v>397</v>
      </c>
      <c r="B61" s="45" t="s">
        <v>398</v>
      </c>
      <c r="C61" s="45" t="s">
        <v>132</v>
      </c>
      <c r="D61" s="45" t="e">
        <f>100*(MdgL+psiow*MdwL+MdsL)</f>
        <v>#N/A</v>
      </c>
      <c r="E61" s="45" t="s">
        <v>46</v>
      </c>
    </row>
    <row r="62" spans="1:7" ht="15" x14ac:dyDescent="0.25">
      <c r="A62" s="53" t="s">
        <v>47</v>
      </c>
      <c r="B62" s="45" t="s">
        <v>399</v>
      </c>
      <c r="C62" s="45" t="s">
        <v>133</v>
      </c>
      <c r="D62" s="45" t="e">
        <f>100*(Mdgc+psiow*Mdwc+Mdsc)</f>
        <v>#N/A</v>
      </c>
      <c r="E62" s="45" t="s">
        <v>46</v>
      </c>
    </row>
    <row r="63" spans="1:7" ht="15" x14ac:dyDescent="0.25">
      <c r="A63" s="45" t="s">
        <v>50</v>
      </c>
      <c r="B63" s="45" t="s">
        <v>400</v>
      </c>
      <c r="C63" s="45" t="s">
        <v>131</v>
      </c>
      <c r="D63" s="45" t="e">
        <f>100*(MdwsL-gfmin*MdgL/gfg)</f>
        <v>#DIV/0!</v>
      </c>
      <c r="E63" s="45" t="s">
        <v>46</v>
      </c>
    </row>
    <row r="64" spans="1:7" ht="15" x14ac:dyDescent="0.25">
      <c r="A64" s="53" t="s">
        <v>47</v>
      </c>
      <c r="B64" s="45" t="s">
        <v>401</v>
      </c>
      <c r="C64" s="45" t="s">
        <v>130</v>
      </c>
      <c r="D64" s="45" t="e">
        <f>100*(Mdwsc-gfmin*Mdgc/gfg)</f>
        <v>#N/A</v>
      </c>
      <c r="E64" s="45" t="s">
        <v>46</v>
      </c>
    </row>
    <row r="65" spans="1:6" ht="15" x14ac:dyDescent="0.25">
      <c r="A65" s="49" t="s">
        <v>402</v>
      </c>
      <c r="B65" s="45" t="s">
        <v>403</v>
      </c>
      <c r="C65" s="45" t="s">
        <v>129</v>
      </c>
      <c r="D65" s="45" t="e">
        <f>Qdg+Qds</f>
        <v>#N/A</v>
      </c>
      <c r="E65" s="45" t="s">
        <v>38</v>
      </c>
    </row>
    <row r="66" spans="1:6" ht="14.25" customHeight="1" x14ac:dyDescent="0.25">
      <c r="A66" s="54" t="s">
        <v>404</v>
      </c>
      <c r="B66" s="45" t="s">
        <v>405</v>
      </c>
      <c r="C66" s="45" t="s">
        <v>128</v>
      </c>
      <c r="D66" s="45" t="e">
        <f>Qdg+Qdw+psios*Qds</f>
        <v>#N/A</v>
      </c>
      <c r="E66" s="45" t="s">
        <v>38</v>
      </c>
    </row>
    <row r="67" spans="1:6" ht="15" x14ac:dyDescent="0.25">
      <c r="A67" s="54" t="s">
        <v>406</v>
      </c>
      <c r="B67" s="45" t="s">
        <v>407</v>
      </c>
      <c r="C67" s="45" t="s">
        <v>126</v>
      </c>
      <c r="D67" s="45" t="e">
        <f>Qdg+Qds+psiow* Qdw</f>
        <v>#N/A</v>
      </c>
      <c r="E67" s="45" t="s">
        <v>38</v>
      </c>
    </row>
    <row r="68" spans="1:6" ht="15" x14ac:dyDescent="0.25">
      <c r="A68" s="45" t="s">
        <v>408</v>
      </c>
      <c r="B68" s="45" t="s">
        <v>409</v>
      </c>
      <c r="C68" s="45" t="s">
        <v>127</v>
      </c>
      <c r="D68" s="45" t="e">
        <f>(gd0+sd0)*Lo</f>
        <v>#N/A</v>
      </c>
      <c r="E68" s="45" t="s">
        <v>38</v>
      </c>
    </row>
    <row r="69" spans="1:6" ht="15.75" customHeight="1" x14ac:dyDescent="0.25">
      <c r="A69" s="49" t="s">
        <v>410</v>
      </c>
      <c r="B69" s="43" t="s">
        <v>411</v>
      </c>
      <c r="C69" s="45">
        <v>2.4</v>
      </c>
      <c r="D69" s="45">
        <f t="shared" ref="D69:D74" si="0">C69</f>
        <v>2.4</v>
      </c>
      <c r="E69" s="45" t="s">
        <v>412</v>
      </c>
      <c r="F69" s="86"/>
    </row>
    <row r="70" spans="1:6" ht="15" x14ac:dyDescent="0.25">
      <c r="A70" s="45" t="s">
        <v>196</v>
      </c>
      <c r="B70" s="45" t="s">
        <v>413</v>
      </c>
      <c r="C70" s="45">
        <v>0.25</v>
      </c>
      <c r="D70" s="45">
        <f t="shared" si="0"/>
        <v>0.25</v>
      </c>
      <c r="E70" s="45" t="s">
        <v>412</v>
      </c>
      <c r="F70" s="86"/>
    </row>
    <row r="71" spans="1:6" ht="15" x14ac:dyDescent="0.25">
      <c r="A71" s="45" t="s">
        <v>197</v>
      </c>
      <c r="B71" s="45" t="s">
        <v>414</v>
      </c>
      <c r="C71" s="45">
        <v>2.1</v>
      </c>
      <c r="D71" s="45">
        <f t="shared" si="0"/>
        <v>2.1</v>
      </c>
      <c r="E71" s="45" t="s">
        <v>412</v>
      </c>
      <c r="F71" s="86"/>
    </row>
    <row r="72" spans="1:6" ht="15" x14ac:dyDescent="0.25">
      <c r="A72" s="45" t="s">
        <v>198</v>
      </c>
      <c r="B72" s="45" t="s">
        <v>415</v>
      </c>
      <c r="C72" s="45">
        <v>0.25</v>
      </c>
      <c r="D72" s="45">
        <f t="shared" si="0"/>
        <v>0.25</v>
      </c>
      <c r="E72" s="45" t="s">
        <v>412</v>
      </c>
      <c r="F72" s="86"/>
    </row>
    <row r="73" spans="1:6" ht="15" x14ac:dyDescent="0.25">
      <c r="A73" s="49" t="s">
        <v>416</v>
      </c>
      <c r="B73" s="45" t="s">
        <v>417</v>
      </c>
      <c r="C73" s="45">
        <v>0.8</v>
      </c>
      <c r="D73" s="45">
        <f t="shared" si="0"/>
        <v>0.8</v>
      </c>
      <c r="E73" s="45"/>
      <c r="F73" s="86"/>
    </row>
    <row r="74" spans="1:6" ht="15" x14ac:dyDescent="0.25">
      <c r="A74" s="55" t="s">
        <v>51</v>
      </c>
      <c r="B74" s="45" t="s">
        <v>418</v>
      </c>
      <c r="C74" s="45">
        <v>0.8</v>
      </c>
      <c r="D74" s="45">
        <f t="shared" si="0"/>
        <v>0.8</v>
      </c>
      <c r="E74" s="45"/>
      <c r="F74" s="86"/>
    </row>
    <row r="75" spans="1:6" ht="15" x14ac:dyDescent="0.25">
      <c r="A75" s="45" t="s">
        <v>52</v>
      </c>
      <c r="B75" s="45" t="s">
        <v>419</v>
      </c>
      <c r="C75" s="45" t="s">
        <v>134</v>
      </c>
      <c r="D75" s="45" t="e">
        <f>IF(h*10&lt;150,MIN((150/(h*10))^0.2,1.3),1)</f>
        <v>#DIV/0!</v>
      </c>
      <c r="E75" s="45"/>
    </row>
    <row r="76" spans="1:6" ht="15" x14ac:dyDescent="0.25">
      <c r="A76" s="45" t="s">
        <v>53</v>
      </c>
      <c r="B76" s="45" t="s">
        <v>420</v>
      </c>
      <c r="C76" s="45">
        <v>1.3</v>
      </c>
      <c r="D76" s="45">
        <v>1.3</v>
      </c>
      <c r="E76" s="45"/>
    </row>
    <row r="77" spans="1:6" ht="15" x14ac:dyDescent="0.25">
      <c r="A77" s="49" t="s">
        <v>421</v>
      </c>
      <c r="B77" s="56" t="s">
        <v>422</v>
      </c>
      <c r="C77" s="45" t="s">
        <v>54</v>
      </c>
      <c r="D77" s="45" t="e">
        <f>fmk*kh*kmods/gM</f>
        <v>#DIV/0!</v>
      </c>
      <c r="E77" s="45" t="s">
        <v>412</v>
      </c>
    </row>
    <row r="78" spans="1:6" ht="15" x14ac:dyDescent="0.25">
      <c r="A78" s="45" t="s">
        <v>199</v>
      </c>
      <c r="B78" s="56" t="s">
        <v>423</v>
      </c>
      <c r="C78" s="45" t="s">
        <v>55</v>
      </c>
      <c r="D78" s="45" t="e">
        <f>fmk*kh*kmodw/gM</f>
        <v>#DIV/0!</v>
      </c>
      <c r="E78" s="45" t="s">
        <v>412</v>
      </c>
    </row>
    <row r="79" spans="1:6" ht="15" x14ac:dyDescent="0.25">
      <c r="A79" s="45" t="s">
        <v>200</v>
      </c>
      <c r="B79" s="56" t="s">
        <v>424</v>
      </c>
      <c r="C79" s="45" t="s">
        <v>56</v>
      </c>
      <c r="D79" s="45">
        <f>fvk*kmods/gM</f>
        <v>0.15384615384615385</v>
      </c>
      <c r="E79" s="45" t="s">
        <v>412</v>
      </c>
    </row>
    <row r="80" spans="1:6" ht="15" x14ac:dyDescent="0.25">
      <c r="A80" s="45" t="s">
        <v>201</v>
      </c>
      <c r="B80" s="45" t="s">
        <v>425</v>
      </c>
      <c r="C80" s="45" t="s">
        <v>57</v>
      </c>
      <c r="D80" s="45">
        <f>fvk*kmodw/gM</f>
        <v>0.15384615384615385</v>
      </c>
      <c r="E80" s="45" t="s">
        <v>412</v>
      </c>
    </row>
    <row r="81" spans="1:6" ht="15" x14ac:dyDescent="0.25">
      <c r="A81" s="45" t="s">
        <v>197</v>
      </c>
      <c r="B81" s="45" t="s">
        <v>426</v>
      </c>
      <c r="C81" s="45" t="s">
        <v>58</v>
      </c>
      <c r="D81" s="45">
        <f>fc0k*kmods/gM</f>
        <v>1.2923076923076924</v>
      </c>
      <c r="E81" s="45" t="s">
        <v>412</v>
      </c>
    </row>
    <row r="82" spans="1:6" ht="15" x14ac:dyDescent="0.25">
      <c r="A82" s="45" t="s">
        <v>198</v>
      </c>
      <c r="B82" s="45" t="s">
        <v>427</v>
      </c>
      <c r="C82" s="45" t="s">
        <v>59</v>
      </c>
      <c r="D82" s="45">
        <f>kmods*fc90k/gM</f>
        <v>0.15384615384615385</v>
      </c>
      <c r="E82" s="45" t="s">
        <v>412</v>
      </c>
    </row>
    <row r="83" spans="1:6" ht="15.75" customHeight="1" x14ac:dyDescent="0.25">
      <c r="A83" s="49" t="s">
        <v>428</v>
      </c>
      <c r="B83" s="45" t="s">
        <v>429</v>
      </c>
      <c r="C83" s="45">
        <v>1100</v>
      </c>
      <c r="D83" s="45">
        <f>C83</f>
        <v>1100</v>
      </c>
      <c r="E83" s="45" t="s">
        <v>412</v>
      </c>
      <c r="F83" s="86"/>
    </row>
    <row r="84" spans="1:6" ht="15" x14ac:dyDescent="0.25">
      <c r="A84" s="45" t="s">
        <v>202</v>
      </c>
      <c r="B84" s="45" t="s">
        <v>430</v>
      </c>
      <c r="C84" s="45">
        <v>740</v>
      </c>
      <c r="D84" s="45">
        <f>C84</f>
        <v>740</v>
      </c>
      <c r="E84" s="45" t="s">
        <v>412</v>
      </c>
      <c r="F84" s="86"/>
    </row>
    <row r="85" spans="1:6" ht="14.25" customHeight="1" x14ac:dyDescent="0.25">
      <c r="A85" s="45" t="s">
        <v>203</v>
      </c>
      <c r="B85" s="45" t="s">
        <v>431</v>
      </c>
      <c r="C85" s="45">
        <v>0.8</v>
      </c>
      <c r="D85" s="45">
        <f>C85</f>
        <v>0.8</v>
      </c>
      <c r="E85" s="45"/>
    </row>
    <row r="86" spans="1:6" ht="15" x14ac:dyDescent="0.25">
      <c r="A86" s="45" t="s">
        <v>60</v>
      </c>
      <c r="B86" s="45" t="s">
        <v>432</v>
      </c>
      <c r="C86" s="45">
        <v>420</v>
      </c>
      <c r="D86" s="45">
        <f>C86</f>
        <v>420</v>
      </c>
      <c r="E86" s="45" t="s">
        <v>124</v>
      </c>
      <c r="F86" s="50"/>
    </row>
    <row r="87" spans="1:6" x14ac:dyDescent="0.25">
      <c r="A87" s="49" t="s">
        <v>61</v>
      </c>
      <c r="B87" s="45"/>
      <c r="C87" s="45"/>
      <c r="D87" s="45"/>
      <c r="E87" s="45"/>
    </row>
    <row r="88" spans="1:6" x14ac:dyDescent="0.25">
      <c r="A88" s="45" t="s">
        <v>204</v>
      </c>
      <c r="B88" s="45" t="s">
        <v>62</v>
      </c>
      <c r="C88" s="45"/>
      <c r="D88" s="45">
        <f>'Spāru aprēķins'!D10</f>
        <v>0</v>
      </c>
      <c r="E88" s="45" t="s">
        <v>63</v>
      </c>
    </row>
    <row r="89" spans="1:6" ht="15" x14ac:dyDescent="0.25">
      <c r="A89" s="45" t="s">
        <v>205</v>
      </c>
      <c r="B89" s="45" t="s">
        <v>433</v>
      </c>
      <c r="C89" s="45" t="s">
        <v>135</v>
      </c>
      <c r="D89" s="45">
        <f>4*h/5</f>
        <v>0</v>
      </c>
      <c r="E89" s="45" t="s">
        <v>63</v>
      </c>
    </row>
    <row r="90" spans="1:6" x14ac:dyDescent="0.25"/>
    <row r="91" spans="1:6" ht="15" x14ac:dyDescent="0.25">
      <c r="A91" s="45" t="s">
        <v>206</v>
      </c>
      <c r="B91" s="57" t="s">
        <v>434</v>
      </c>
      <c r="C91" s="45" t="s">
        <v>136</v>
      </c>
      <c r="D91" s="45">
        <f>b*hef^3/12</f>
        <v>0</v>
      </c>
      <c r="E91" s="56" t="s">
        <v>435</v>
      </c>
    </row>
    <row r="92" spans="1:6" ht="15" x14ac:dyDescent="0.25">
      <c r="A92" s="45" t="s">
        <v>207</v>
      </c>
      <c r="B92" s="45" t="s">
        <v>436</v>
      </c>
      <c r="C92" s="45" t="s">
        <v>137</v>
      </c>
      <c r="D92" s="45">
        <f>b*hef^2/6</f>
        <v>0</v>
      </c>
      <c r="E92" s="45" t="s">
        <v>437</v>
      </c>
    </row>
    <row r="93" spans="1:6" x14ac:dyDescent="0.25">
      <c r="A93" s="45" t="s">
        <v>208</v>
      </c>
      <c r="B93" s="45" t="s">
        <v>64</v>
      </c>
      <c r="C93" s="45"/>
      <c r="D93" s="45">
        <f>'Spāru aprēķins'!D9</f>
        <v>0</v>
      </c>
      <c r="E93" s="45" t="s">
        <v>63</v>
      </c>
    </row>
    <row r="94" spans="1:6" ht="15" x14ac:dyDescent="0.25">
      <c r="A94" s="45" t="s">
        <v>209</v>
      </c>
      <c r="B94" s="45" t="s">
        <v>438</v>
      </c>
      <c r="C94" s="45" t="s">
        <v>138</v>
      </c>
      <c r="D94" s="45">
        <f>b*h</f>
        <v>0</v>
      </c>
      <c r="E94" s="56" t="s">
        <v>439</v>
      </c>
    </row>
    <row r="95" spans="1:6" x14ac:dyDescent="0.25">
      <c r="A95" s="45" t="s">
        <v>210</v>
      </c>
      <c r="B95" s="45" t="s">
        <v>65</v>
      </c>
      <c r="C95" s="45" t="s">
        <v>142</v>
      </c>
      <c r="D95" s="45" t="e">
        <f>h/b</f>
        <v>#DIV/0!</v>
      </c>
      <c r="E95" s="45"/>
    </row>
    <row r="96" spans="1:6" ht="15" x14ac:dyDescent="0.25">
      <c r="A96" s="45" t="s">
        <v>211</v>
      </c>
      <c r="B96" s="45" t="s">
        <v>440</v>
      </c>
      <c r="C96" s="45" t="s">
        <v>139</v>
      </c>
      <c r="D96" s="45">
        <f>b*h^2/6</f>
        <v>0</v>
      </c>
      <c r="E96" s="45" t="s">
        <v>437</v>
      </c>
    </row>
    <row r="97" spans="1:5" ht="15" x14ac:dyDescent="0.25">
      <c r="A97" s="45" t="s">
        <v>212</v>
      </c>
      <c r="B97" s="45" t="s">
        <v>441</v>
      </c>
      <c r="C97" s="45" t="s">
        <v>140</v>
      </c>
      <c r="D97" s="58">
        <f>b*h^3/12</f>
        <v>0</v>
      </c>
      <c r="E97" s="56" t="s">
        <v>435</v>
      </c>
    </row>
    <row r="98" spans="1:5" ht="15" x14ac:dyDescent="0.25">
      <c r="A98" s="45" t="s">
        <v>213</v>
      </c>
      <c r="B98" s="45" t="s">
        <v>442</v>
      </c>
      <c r="C98" s="45" t="s">
        <v>141</v>
      </c>
      <c r="D98" s="45">
        <f>b^3*h/12</f>
        <v>0</v>
      </c>
      <c r="E98" s="56" t="s">
        <v>435</v>
      </c>
    </row>
    <row r="99" spans="1:5" x14ac:dyDescent="0.25">
      <c r="A99" s="88" t="s">
        <v>66</v>
      </c>
      <c r="B99" s="88"/>
      <c r="C99" s="88"/>
      <c r="D99" s="88"/>
      <c r="E99" s="88"/>
    </row>
    <row r="100" spans="1:5" ht="15" x14ac:dyDescent="0.25">
      <c r="A100" s="45" t="s">
        <v>443</v>
      </c>
      <c r="B100" s="45" t="s">
        <v>444</v>
      </c>
      <c r="C100" s="45" t="s">
        <v>143</v>
      </c>
      <c r="D100" s="45" t="e">
        <f>MdgsL/Wy</f>
        <v>#N/A</v>
      </c>
      <c r="E100" s="45" t="s">
        <v>412</v>
      </c>
    </row>
    <row r="101" spans="1:5" ht="15" x14ac:dyDescent="0.25">
      <c r="A101" s="59" t="s">
        <v>67</v>
      </c>
      <c r="B101" s="45" t="s">
        <v>445</v>
      </c>
      <c r="C101" s="45" t="s">
        <v>144</v>
      </c>
      <c r="D101" s="45" t="e">
        <f>100*smdgsL/fmds</f>
        <v>#N/A</v>
      </c>
      <c r="E101" s="45" t="s">
        <v>68</v>
      </c>
    </row>
    <row r="102" spans="1:5" ht="15" x14ac:dyDescent="0.25">
      <c r="A102" s="45" t="s">
        <v>446</v>
      </c>
      <c r="B102" s="45" t="s">
        <v>447</v>
      </c>
      <c r="C102" s="45" t="s">
        <v>145</v>
      </c>
      <c r="D102" s="45" t="e">
        <f>Mdgsc/Wyef</f>
        <v>#N/A</v>
      </c>
      <c r="E102" s="45" t="s">
        <v>412</v>
      </c>
    </row>
    <row r="103" spans="1:5" ht="15" x14ac:dyDescent="0.25">
      <c r="A103" s="59" t="s">
        <v>67</v>
      </c>
      <c r="B103" s="45" t="s">
        <v>445</v>
      </c>
      <c r="C103" s="45" t="s">
        <v>147</v>
      </c>
      <c r="D103" s="45" t="e">
        <f xml:space="preserve"> 100*smdgsc/fmds</f>
        <v>#N/A</v>
      </c>
      <c r="E103" s="45" t="s">
        <v>68</v>
      </c>
    </row>
    <row r="104" spans="1:5" ht="15" x14ac:dyDescent="0.25">
      <c r="A104" s="45" t="s">
        <v>69</v>
      </c>
      <c r="B104" s="45" t="s">
        <v>448</v>
      </c>
      <c r="C104" s="45" t="s">
        <v>146</v>
      </c>
      <c r="D104" s="45" t="e">
        <f>MAX(MdgwsL,MdgswL,MdgwL)/Wy</f>
        <v>#N/A</v>
      </c>
      <c r="E104" s="45" t="s">
        <v>412</v>
      </c>
    </row>
    <row r="105" spans="1:5" ht="15" x14ac:dyDescent="0.25">
      <c r="A105" s="59" t="s">
        <v>67</v>
      </c>
      <c r="B105" s="45" t="s">
        <v>445</v>
      </c>
      <c r="C105" s="45" t="s">
        <v>148</v>
      </c>
      <c r="D105" s="60" t="e">
        <f>100*smdgsw/fmdw</f>
        <v>#N/A</v>
      </c>
      <c r="E105" s="45" t="s">
        <v>68</v>
      </c>
    </row>
    <row r="106" spans="1:5" ht="15" x14ac:dyDescent="0.25">
      <c r="A106" s="45" t="s">
        <v>70</v>
      </c>
      <c r="B106" s="45" t="s">
        <v>449</v>
      </c>
      <c r="C106" s="45" t="s">
        <v>149</v>
      </c>
      <c r="D106" s="45" t="e">
        <f>MAX(Mdgwsc,Mdgswc,Mdgwc)/Wyef</f>
        <v>#N/A</v>
      </c>
      <c r="E106" s="45" t="s">
        <v>412</v>
      </c>
    </row>
    <row r="107" spans="1:5" ht="15" x14ac:dyDescent="0.25">
      <c r="A107" s="59" t="s">
        <v>67</v>
      </c>
      <c r="B107" s="45" t="s">
        <v>445</v>
      </c>
      <c r="C107" s="45" t="s">
        <v>150</v>
      </c>
      <c r="D107" s="45" t="e">
        <f>100*smdef/fmdw</f>
        <v>#N/A</v>
      </c>
      <c r="E107" s="45" t="s">
        <v>68</v>
      </c>
    </row>
    <row r="108" spans="1:5" x14ac:dyDescent="0.25">
      <c r="A108" s="88" t="s">
        <v>71</v>
      </c>
      <c r="B108" s="88"/>
      <c r="C108" s="88"/>
      <c r="D108" s="88"/>
      <c r="E108" s="88"/>
    </row>
    <row r="109" spans="1:5" ht="15" x14ac:dyDescent="0.25">
      <c r="A109" s="45" t="s">
        <v>450</v>
      </c>
      <c r="B109" s="45" t="s">
        <v>451</v>
      </c>
      <c r="C109" s="45" t="s">
        <v>151</v>
      </c>
      <c r="D109" s="45" t="e">
        <f>1.5*Qdgs/(b*hef)</f>
        <v>#N/A</v>
      </c>
      <c r="E109" s="45" t="s">
        <v>412</v>
      </c>
    </row>
    <row r="110" spans="1:5" ht="15" x14ac:dyDescent="0.25">
      <c r="A110" s="59" t="s">
        <v>67</v>
      </c>
      <c r="B110" s="45" t="s">
        <v>445</v>
      </c>
      <c r="C110" s="45" t="s">
        <v>152</v>
      </c>
      <c r="D110" s="45" t="e">
        <f>100*tds/(kv*fvds)</f>
        <v>#N/A</v>
      </c>
      <c r="E110" s="45" t="s">
        <v>68</v>
      </c>
    </row>
    <row r="111" spans="1:5" ht="15" x14ac:dyDescent="0.25">
      <c r="A111" s="45" t="s">
        <v>72</v>
      </c>
      <c r="B111" s="45" t="s">
        <v>452</v>
      </c>
      <c r="C111" s="45" t="s">
        <v>221</v>
      </c>
      <c r="D111" s="45" t="e">
        <f>1.5*MAX(Qdgws,Qdgsw)/( b* hef)</f>
        <v>#N/A</v>
      </c>
      <c r="E111" s="45"/>
    </row>
    <row r="112" spans="1:5" ht="15" x14ac:dyDescent="0.25">
      <c r="A112" s="59" t="s">
        <v>67</v>
      </c>
      <c r="B112" s="45" t="s">
        <v>445</v>
      </c>
      <c r="C112" s="45" t="s">
        <v>153</v>
      </c>
      <c r="D112" s="60" t="e">
        <f>100*tdsw/(kv*fvdw)</f>
        <v>#N/A</v>
      </c>
      <c r="E112" s="45"/>
    </row>
    <row r="113" spans="1:5" ht="15" x14ac:dyDescent="0.25">
      <c r="A113" s="45" t="s">
        <v>73</v>
      </c>
      <c r="B113" s="45" t="s">
        <v>433</v>
      </c>
      <c r="C113" s="45" t="s">
        <v>135</v>
      </c>
      <c r="D113" s="45">
        <f>4*h/5</f>
        <v>0</v>
      </c>
      <c r="E113" s="45" t="s">
        <v>63</v>
      </c>
    </row>
    <row r="114" spans="1:5" ht="15" x14ac:dyDescent="0.25">
      <c r="A114" s="45" t="s">
        <v>74</v>
      </c>
      <c r="B114" s="45" t="s">
        <v>453</v>
      </c>
      <c r="C114" s="45" t="s">
        <v>154</v>
      </c>
      <c r="D114" s="45" t="e">
        <f>hef/h</f>
        <v>#DIV/0!</v>
      </c>
      <c r="E114" s="45"/>
    </row>
    <row r="115" spans="1:5" ht="15" x14ac:dyDescent="0.25">
      <c r="A115" s="45" t="s">
        <v>75</v>
      </c>
      <c r="B115" s="45" t="s">
        <v>454</v>
      </c>
      <c r="C115" s="45">
        <v>5</v>
      </c>
      <c r="D115" s="45">
        <f>C115</f>
        <v>5</v>
      </c>
      <c r="E115" s="45"/>
    </row>
    <row r="116" spans="1:5" x14ac:dyDescent="0.25">
      <c r="A116" s="45" t="s">
        <v>76</v>
      </c>
      <c r="B116" s="45" t="s">
        <v>155</v>
      </c>
      <c r="C116" s="45">
        <v>0</v>
      </c>
      <c r="D116" s="45">
        <f>C116</f>
        <v>0</v>
      </c>
      <c r="E116" s="45"/>
    </row>
    <row r="117" spans="1:5" x14ac:dyDescent="0.25">
      <c r="A117" s="45" t="s">
        <v>77</v>
      </c>
      <c r="B117" s="45" t="s">
        <v>78</v>
      </c>
      <c r="C117" s="45" t="s">
        <v>156</v>
      </c>
      <c r="D117" s="45" t="e">
        <f>cc/(h-hef)</f>
        <v>#DIV/0!</v>
      </c>
      <c r="E117" s="45"/>
    </row>
    <row r="118" spans="1:5" x14ac:dyDescent="0.25">
      <c r="A118" s="45" t="s">
        <v>217</v>
      </c>
      <c r="B118" s="45" t="s">
        <v>79</v>
      </c>
      <c r="C118" s="45" t="s">
        <v>80</v>
      </c>
      <c r="D118" s="45">
        <f>hef/4</f>
        <v>0</v>
      </c>
      <c r="E118" s="45" t="s">
        <v>63</v>
      </c>
    </row>
    <row r="119" spans="1:5" x14ac:dyDescent="0.25"/>
    <row r="120" spans="1:5" ht="15" x14ac:dyDescent="0.25">
      <c r="A120" s="45" t="s">
        <v>81</v>
      </c>
      <c r="B120" s="45" t="s">
        <v>455</v>
      </c>
      <c r="C120" s="93" t="s">
        <v>157</v>
      </c>
      <c r="D120" s="94" t="e">
        <f>kn*(1+1.1*i^1.5/SQRT(h))/(SQRT(h)*(SQRT(aef*(1-aef))+0.8*x*SQRT(1/aef-aef^2)))</f>
        <v>#DIV/0!</v>
      </c>
      <c r="E120" s="45"/>
    </row>
    <row r="121" spans="1:5" x14ac:dyDescent="0.25">
      <c r="A121" s="45"/>
      <c r="B121" s="45"/>
      <c r="C121" s="93"/>
      <c r="D121" s="94"/>
      <c r="E121" s="45"/>
    </row>
    <row r="122" spans="1:5" ht="15" x14ac:dyDescent="0.25">
      <c r="A122" s="60" t="s">
        <v>456</v>
      </c>
      <c r="B122" s="45" t="s">
        <v>457</v>
      </c>
      <c r="C122" s="45" t="s">
        <v>158</v>
      </c>
      <c r="D122" s="45" t="e">
        <f>(h-hef)/SIN(al)</f>
        <v>#DIV/0!</v>
      </c>
      <c r="E122" s="45" t="s">
        <v>63</v>
      </c>
    </row>
    <row r="123" spans="1:5" ht="15" x14ac:dyDescent="0.25">
      <c r="A123" s="45" t="s">
        <v>214</v>
      </c>
      <c r="B123" s="45" t="s">
        <v>458</v>
      </c>
      <c r="C123" s="45" t="s">
        <v>159</v>
      </c>
      <c r="D123" s="45" t="e">
        <f>(gd/COS(al)+sd)*(ck+L)^2/(2*L)</f>
        <v>#N/A</v>
      </c>
      <c r="E123" s="45" t="s">
        <v>38</v>
      </c>
    </row>
    <row r="124" spans="1:5" ht="15" x14ac:dyDescent="0.25">
      <c r="A124" s="45" t="s">
        <v>215</v>
      </c>
      <c r="B124" s="45" t="s">
        <v>459</v>
      </c>
      <c r="C124" s="45" t="s">
        <v>160</v>
      </c>
      <c r="D124" s="45" t="e">
        <f>Vc/(lb*b)</f>
        <v>#N/A</v>
      </c>
      <c r="E124" s="45" t="s">
        <v>412</v>
      </c>
    </row>
    <row r="125" spans="1:5" ht="15" x14ac:dyDescent="0.25">
      <c r="A125" s="45" t="s">
        <v>216</v>
      </c>
      <c r="B125" s="45" t="s">
        <v>460</v>
      </c>
      <c r="C125" s="45">
        <v>1.5</v>
      </c>
      <c r="D125" s="45">
        <f>C125</f>
        <v>1.5</v>
      </c>
      <c r="E125" s="45"/>
    </row>
    <row r="126" spans="1:5" ht="15" x14ac:dyDescent="0.25">
      <c r="A126" s="45" t="s">
        <v>461</v>
      </c>
      <c r="B126" s="45"/>
      <c r="C126" s="45" t="s">
        <v>161</v>
      </c>
      <c r="D126" s="61">
        <f>IF(_kc90&gt;4,(4*fc90d),(_kc90*fc90d))</f>
        <v>0.23076923076923078</v>
      </c>
      <c r="E126" s="45" t="s">
        <v>412</v>
      </c>
    </row>
    <row r="127" spans="1:5" ht="15" x14ac:dyDescent="0.25">
      <c r="A127" s="45" t="s">
        <v>82</v>
      </c>
      <c r="B127" s="45" t="s">
        <v>462</v>
      </c>
      <c r="C127" s="45" t="s">
        <v>162</v>
      </c>
      <c r="D127" s="60" t="e">
        <f>100*sc90d/kc90_fc90d</f>
        <v>#N/A</v>
      </c>
      <c r="E127" s="45" t="s">
        <v>68</v>
      </c>
    </row>
    <row r="128" spans="1:5" x14ac:dyDescent="0.25">
      <c r="A128" s="88" t="s">
        <v>83</v>
      </c>
      <c r="B128" s="88"/>
      <c r="C128" s="88"/>
      <c r="D128" s="88"/>
      <c r="E128" s="88"/>
    </row>
    <row r="129" spans="1:5" ht="15" x14ac:dyDescent="0.25">
      <c r="A129" s="45" t="s">
        <v>84</v>
      </c>
      <c r="B129" s="45" t="s">
        <v>463</v>
      </c>
      <c r="C129" s="45" t="s">
        <v>163</v>
      </c>
      <c r="D129" s="45">
        <f>100*Lo</f>
        <v>0</v>
      </c>
      <c r="E129" s="45" t="s">
        <v>63</v>
      </c>
    </row>
    <row r="130" spans="1:5" ht="14.25" customHeight="1" x14ac:dyDescent="0.25">
      <c r="A130" s="45" t="s">
        <v>85</v>
      </c>
      <c r="B130" s="45" t="s">
        <v>464</v>
      </c>
      <c r="C130" s="45" t="s">
        <v>164</v>
      </c>
      <c r="D130" s="45" t="e">
        <f>lefy/(0.289*h)</f>
        <v>#DIV/0!</v>
      </c>
      <c r="E130" s="45"/>
    </row>
    <row r="131" spans="1:5" ht="15" x14ac:dyDescent="0.25">
      <c r="A131" s="45" t="s">
        <v>86</v>
      </c>
      <c r="B131" s="45" t="s">
        <v>465</v>
      </c>
      <c r="C131" s="45" t="s">
        <v>165</v>
      </c>
      <c r="D131" s="45" t="e">
        <f>lmy*SQRT(fc0k/E_05)/PI()</f>
        <v>#DIV/0!</v>
      </c>
      <c r="E131" s="45"/>
    </row>
    <row r="132" spans="1:5" ht="15" x14ac:dyDescent="0.25">
      <c r="A132" s="45" t="s">
        <v>87</v>
      </c>
      <c r="B132" s="45" t="s">
        <v>466</v>
      </c>
      <c r="C132" s="45" t="s">
        <v>166</v>
      </c>
      <c r="D132" s="45" t="e">
        <f>(1+0.2*(lrely-0.3)+lrely^2)/2</f>
        <v>#DIV/0!</v>
      </c>
      <c r="E132" s="45"/>
    </row>
    <row r="133" spans="1:5" ht="15" x14ac:dyDescent="0.25">
      <c r="A133" s="45" t="s">
        <v>88</v>
      </c>
      <c r="B133" s="45" t="s">
        <v>467</v>
      </c>
      <c r="C133" s="45" t="s">
        <v>167</v>
      </c>
      <c r="D133" s="45" t="e">
        <f>1/(ky+SQRT(ky^2-lrely^2))</f>
        <v>#DIV/0!</v>
      </c>
      <c r="E133" s="45"/>
    </row>
    <row r="134" spans="1:5" ht="15" x14ac:dyDescent="0.25">
      <c r="A134" s="45" t="s">
        <v>89</v>
      </c>
      <c r="B134" s="45" t="s">
        <v>468</v>
      </c>
      <c r="C134" s="45" t="s">
        <v>168</v>
      </c>
      <c r="D134" s="60" t="e">
        <f>100*(smdgsw/fmdw+Nd/(As*kcy*fc0d))</f>
        <v>#N/A</v>
      </c>
      <c r="E134" s="45" t="s">
        <v>68</v>
      </c>
    </row>
    <row r="135" spans="1:5" ht="24.75" customHeight="1" x14ac:dyDescent="0.25">
      <c r="A135" s="91" t="s">
        <v>469</v>
      </c>
      <c r="B135" s="92"/>
      <c r="C135" s="92"/>
      <c r="D135" s="92"/>
      <c r="E135" s="92"/>
    </row>
    <row r="136" spans="1:5" x14ac:dyDescent="0.25">
      <c r="A136" s="88" t="s">
        <v>90</v>
      </c>
      <c r="B136" s="88"/>
      <c r="C136" s="88"/>
      <c r="D136" s="88"/>
      <c r="E136" s="88"/>
    </row>
    <row r="137" spans="1:5" x14ac:dyDescent="0.25">
      <c r="A137" s="45" t="s">
        <v>91</v>
      </c>
      <c r="B137" s="45" t="s">
        <v>169</v>
      </c>
      <c r="C137" s="45" t="s">
        <v>170</v>
      </c>
      <c r="D137" s="61">
        <f>5/384</f>
        <v>1.3020833333333334E-2</v>
      </c>
      <c r="E137" s="45"/>
    </row>
    <row r="138" spans="1:5" ht="15" x14ac:dyDescent="0.25">
      <c r="A138" s="45" t="s">
        <v>92</v>
      </c>
      <c r="B138" s="45" t="s">
        <v>470</v>
      </c>
      <c r="C138" s="45" t="s">
        <v>171</v>
      </c>
      <c r="D138" s="45" t="e">
        <f>kf*(gk_90/100)*(Lo* 100)^4/(Emean*Jy)</f>
        <v>#N/A</v>
      </c>
      <c r="E138" s="45" t="s">
        <v>63</v>
      </c>
    </row>
    <row r="139" spans="1:5" ht="15" x14ac:dyDescent="0.25">
      <c r="A139" s="45" t="s">
        <v>93</v>
      </c>
      <c r="B139" s="45" t="s">
        <v>471</v>
      </c>
      <c r="C139" s="45" t="s">
        <v>172</v>
      </c>
      <c r="D139" s="45" t="e">
        <f>uinstg*(1+kdef)</f>
        <v>#N/A</v>
      </c>
      <c r="E139" s="45" t="s">
        <v>63</v>
      </c>
    </row>
    <row r="140" spans="1:5" ht="15" x14ac:dyDescent="0.25">
      <c r="A140" s="45" t="s">
        <v>94</v>
      </c>
      <c r="B140" s="45" t="s">
        <v>472</v>
      </c>
      <c r="C140" s="45" t="s">
        <v>173</v>
      </c>
      <c r="D140" s="45" t="e">
        <f>kf*(sk_90/100)*(Lo*100)^4/(Emean*Jy)</f>
        <v>#DIV/0!</v>
      </c>
      <c r="E140" s="45" t="s">
        <v>63</v>
      </c>
    </row>
    <row r="141" spans="1:5" ht="15" x14ac:dyDescent="0.25">
      <c r="A141" s="45" t="s">
        <v>95</v>
      </c>
      <c r="B141" s="45" t="s">
        <v>473</v>
      </c>
      <c r="C141" s="45">
        <v>0.3</v>
      </c>
      <c r="D141" s="45">
        <f>C141</f>
        <v>0.3</v>
      </c>
      <c r="E141" s="45" t="s">
        <v>63</v>
      </c>
    </row>
    <row r="142" spans="1:5" ht="15" x14ac:dyDescent="0.25">
      <c r="A142" s="45" t="s">
        <v>96</v>
      </c>
      <c r="B142" s="45" t="s">
        <v>474</v>
      </c>
      <c r="C142" s="45" t="s">
        <v>174</v>
      </c>
      <c r="D142" s="45" t="e">
        <f>uinstq*(1+_psi2*kdef)</f>
        <v>#DIV/0!</v>
      </c>
      <c r="E142" s="45" t="s">
        <v>63</v>
      </c>
    </row>
    <row r="143" spans="1:5" ht="15" x14ac:dyDescent="0.25">
      <c r="A143" s="45" t="s">
        <v>97</v>
      </c>
      <c r="B143" s="45" t="s">
        <v>475</v>
      </c>
      <c r="C143" s="45" t="s">
        <v>175</v>
      </c>
      <c r="D143" s="45" t="e">
        <f>uinstg*kdef+ufinq*_psi2*kdef</f>
        <v>#N/A</v>
      </c>
      <c r="E143" s="45" t="s">
        <v>63</v>
      </c>
    </row>
    <row r="144" spans="1:5" ht="15" x14ac:dyDescent="0.25">
      <c r="A144" s="45" t="s">
        <v>98</v>
      </c>
      <c r="B144" s="45" t="s">
        <v>476</v>
      </c>
      <c r="C144" s="45" t="s">
        <v>176</v>
      </c>
      <c r="D144" s="45" t="e">
        <f>ufing+ufinq</f>
        <v>#N/A</v>
      </c>
      <c r="E144" s="45" t="s">
        <v>63</v>
      </c>
    </row>
    <row r="145" spans="1:5" ht="15" x14ac:dyDescent="0.25">
      <c r="A145" s="45" t="s">
        <v>99</v>
      </c>
      <c r="B145" s="45" t="s">
        <v>477</v>
      </c>
      <c r="C145" s="45">
        <v>250</v>
      </c>
      <c r="D145" s="45">
        <f>C145</f>
        <v>250</v>
      </c>
      <c r="E145" s="45"/>
    </row>
    <row r="146" spans="1:5" ht="15" x14ac:dyDescent="0.25">
      <c r="A146" s="45" t="s">
        <v>100</v>
      </c>
      <c r="B146" s="45" t="s">
        <v>478</v>
      </c>
      <c r="C146" s="45" t="s">
        <v>177</v>
      </c>
      <c r="D146" s="45">
        <f>L*100/no</f>
        <v>0</v>
      </c>
      <c r="E146" s="45" t="s">
        <v>63</v>
      </c>
    </row>
    <row r="147" spans="1:5" ht="15" x14ac:dyDescent="0.25">
      <c r="A147" s="45" t="s">
        <v>101</v>
      </c>
      <c r="B147" s="45" t="s">
        <v>479</v>
      </c>
      <c r="C147" s="45" t="s">
        <v>178</v>
      </c>
      <c r="D147" s="60" t="e">
        <f>100*ufin/uadm</f>
        <v>#N/A</v>
      </c>
      <c r="E147" s="45" t="s">
        <v>68</v>
      </c>
    </row>
  </sheetData>
  <sheetProtection algorithmName="SHA-512" hashValue="mKVHnvvtn2l52BktRcbwfTvGfLmtObrjLTNL8Qwuh/c1hdwOnYDBE2Sl2Wjp9RqS5fCENUjGWoGrSPAZ+KBlig==" saltValue="NuLtTvM68Ob+D2cK/R9qPA==" spinCount="100000" sheet="1" objects="1" scenarios="1" selectLockedCells="1" selectUnlockedCells="1"/>
  <mergeCells count="15">
    <mergeCell ref="A136:E136"/>
    <mergeCell ref="A128:E128"/>
    <mergeCell ref="A99:E99"/>
    <mergeCell ref="A108:E108"/>
    <mergeCell ref="A40:E40"/>
    <mergeCell ref="A55:E55"/>
    <mergeCell ref="A135:E135"/>
    <mergeCell ref="C120:C121"/>
    <mergeCell ref="D120:D121"/>
    <mergeCell ref="F17:F18"/>
    <mergeCell ref="F69:F72"/>
    <mergeCell ref="F73:F74"/>
    <mergeCell ref="A1:E2"/>
    <mergeCell ref="F83:F84"/>
    <mergeCell ref="F37:F38"/>
  </mergeCells>
  <phoneticPr fontId="4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scale="56" fitToHeight="0" orientation="portrait" r:id="rId1"/>
  <headerFooter alignWithMargins="0"/>
  <ignoredErrors>
    <ignoredError sqref="D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0"/>
  <sheetViews>
    <sheetView showGridLines="0" showRowColHeaders="0" tabSelected="1" zoomScaleNormal="100" workbookViewId="0">
      <selection activeCell="D11" sqref="D11"/>
    </sheetView>
  </sheetViews>
  <sheetFormatPr defaultColWidth="0" defaultRowHeight="14.4" zeroHeight="1" x14ac:dyDescent="0.25"/>
  <cols>
    <col min="1" max="1" width="34.33203125" style="2" customWidth="1"/>
    <col min="2" max="4" width="13.77734375" style="2" customWidth="1"/>
    <col min="5" max="5" width="30.77734375" style="2" customWidth="1"/>
    <col min="6" max="6" width="1" style="2" customWidth="1"/>
    <col min="7" max="7" width="34.33203125" style="2" customWidth="1"/>
    <col min="8" max="9" width="13.77734375" style="2" customWidth="1"/>
    <col min="10" max="10" width="9.21875" style="2" customWidth="1"/>
    <col min="11" max="11" width="7.33203125" style="2" customWidth="1"/>
    <col min="12" max="12" width="30.77734375" style="2" customWidth="1"/>
    <col min="13" max="16384" width="8.88671875" style="2" hidden="1"/>
  </cols>
  <sheetData>
    <row r="1" spans="1:12" x14ac:dyDescent="0.25">
      <c r="A1" s="96" t="s">
        <v>229</v>
      </c>
      <c r="B1" s="96"/>
      <c r="C1" s="96"/>
      <c r="D1" s="96"/>
      <c r="E1" s="96"/>
      <c r="G1" s="79" t="s">
        <v>245</v>
      </c>
      <c r="H1" s="79"/>
      <c r="I1" s="79"/>
      <c r="J1" s="79"/>
      <c r="K1" s="79"/>
      <c r="L1" s="79"/>
    </row>
    <row r="2" spans="1:12" ht="15" thickBot="1" x14ac:dyDescent="0.3">
      <c r="A2" s="16" t="s">
        <v>224</v>
      </c>
      <c r="B2" s="16" t="s">
        <v>10</v>
      </c>
      <c r="C2" s="16" t="s">
        <v>17</v>
      </c>
      <c r="D2" s="20" t="s">
        <v>225</v>
      </c>
      <c r="E2" s="16" t="s">
        <v>230</v>
      </c>
      <c r="G2" s="17" t="s">
        <v>224</v>
      </c>
      <c r="H2" s="17" t="s">
        <v>10</v>
      </c>
      <c r="I2" s="17" t="s">
        <v>17</v>
      </c>
      <c r="J2" s="83" t="s">
        <v>225</v>
      </c>
      <c r="K2" s="84"/>
      <c r="L2" s="17" t="s">
        <v>230</v>
      </c>
    </row>
    <row r="3" spans="1:12" ht="44.4" thickTop="1" thickBot="1" x14ac:dyDescent="0.3">
      <c r="A3" s="10" t="s">
        <v>291</v>
      </c>
      <c r="B3" s="13" t="s">
        <v>226</v>
      </c>
      <c r="C3" s="18" t="s">
        <v>18</v>
      </c>
      <c r="D3" s="38"/>
      <c r="E3" s="36" t="str">
        <f>IF(ISNUMBER(D3),"","Ievadiet sijas laidumu")</f>
        <v>Ievadiet sijas laidumu</v>
      </c>
      <c r="G3" s="10" t="s">
        <v>297</v>
      </c>
      <c r="H3" s="11" t="s">
        <v>313</v>
      </c>
      <c r="I3" s="34" t="s">
        <v>68</v>
      </c>
      <c r="J3" s="35" t="str">
        <f>IF(ISNUMBER(D11),sijam_matematika!G40,"")</f>
        <v/>
      </c>
      <c r="K3" s="30" t="s">
        <v>248</v>
      </c>
      <c r="L3" s="37" t="str">
        <f>IF(J3&lt;100,"Sijas stiprība ir nodrošināta","Palielieniet sijas šķērsgriezuma parametrus")</f>
        <v>Palielieniet sijas šķērsgriezuma parametrus</v>
      </c>
    </row>
    <row r="4" spans="1:12" ht="44.4" thickTop="1" thickBot="1" x14ac:dyDescent="0.3">
      <c r="A4" s="10" t="s">
        <v>292</v>
      </c>
      <c r="B4" s="13" t="s">
        <v>227</v>
      </c>
      <c r="C4" s="18" t="s">
        <v>18</v>
      </c>
      <c r="D4" s="38"/>
      <c r="E4" s="36" t="str">
        <f>IF(ISNUMBER(D4),"","Ievadiet siju soli")</f>
        <v>Ievadiet siju soli</v>
      </c>
      <c r="G4" s="10" t="s">
        <v>298</v>
      </c>
      <c r="H4" s="11" t="s">
        <v>314</v>
      </c>
      <c r="I4" s="34" t="s">
        <v>68</v>
      </c>
      <c r="J4" s="35" t="str">
        <f>IF(ISNUMBER(D11),sijam_matematika!B117,"")</f>
        <v/>
      </c>
      <c r="K4" s="30" t="s">
        <v>248</v>
      </c>
      <c r="L4" s="37" t="str">
        <f>IF(J4&lt;100,"Sijas stingums ir nodrošināts","Palielieniet sijas šķērsgriezuma parametrus")</f>
        <v>Palielieniet sijas šķērsgriezuma parametrus</v>
      </c>
    </row>
    <row r="5" spans="1:12" ht="32.4" customHeight="1" thickTop="1" x14ac:dyDescent="0.25">
      <c r="A5" s="10" t="s">
        <v>299</v>
      </c>
      <c r="B5" s="31" t="s">
        <v>319</v>
      </c>
      <c r="C5" s="24" t="s">
        <v>18</v>
      </c>
      <c r="D5" s="42"/>
      <c r="E5" s="36" t="str">
        <f>IF(ISNUMBER(D5),"","Ievadiet sijas atbalsta laidumu")</f>
        <v>Ievadiet sijas atbalsta laidumu</v>
      </c>
      <c r="G5" s="3"/>
      <c r="H5" s="1"/>
      <c r="I5" s="1"/>
    </row>
    <row r="6" spans="1:12" ht="28.8" x14ac:dyDescent="0.25">
      <c r="A6" s="22" t="s">
        <v>326</v>
      </c>
      <c r="B6" s="82"/>
      <c r="C6" s="82"/>
      <c r="D6" s="82"/>
      <c r="E6" s="36" t="str">
        <f>IF(ISNUMBER(D7),"","Izvēlieties pārseguma izmantošanas veidu")</f>
        <v>Izvēlieties pārseguma izmantošanas veidu</v>
      </c>
      <c r="G6" s="3"/>
      <c r="H6" s="14"/>
      <c r="I6" s="14"/>
    </row>
    <row r="7" spans="1:12" ht="28.8" x14ac:dyDescent="0.25">
      <c r="A7" s="10" t="s">
        <v>294</v>
      </c>
      <c r="B7" s="32" t="s">
        <v>320</v>
      </c>
      <c r="C7" s="33" t="s">
        <v>238</v>
      </c>
      <c r="D7" s="33" t="e">
        <f>VLOOKUP(B6,Dati!C14:D16,2,FALSE)</f>
        <v>#N/A</v>
      </c>
      <c r="E7" s="37"/>
    </row>
    <row r="8" spans="1:12" ht="28.8" x14ac:dyDescent="0.25">
      <c r="A8" s="22" t="s">
        <v>327</v>
      </c>
      <c r="B8" s="82"/>
      <c r="C8" s="82"/>
      <c r="D8" s="82"/>
      <c r="E8" s="36" t="str">
        <f>IF(ISNUMBER(D9),"","Izvēlieties pārseguma konstrukcijas tipu")</f>
        <v>Izvēlieties pārseguma konstrukcijas tipu</v>
      </c>
    </row>
    <row r="9" spans="1:12" ht="28.8" x14ac:dyDescent="0.25">
      <c r="A9" s="10" t="s">
        <v>293</v>
      </c>
      <c r="B9" s="26" t="s">
        <v>311</v>
      </c>
      <c r="C9" s="26" t="s">
        <v>238</v>
      </c>
      <c r="D9" s="41" t="e">
        <f>VLOOKUP(B8,Dati!C19:D22,2,FALSE)</f>
        <v>#N/A</v>
      </c>
      <c r="E9" s="37"/>
    </row>
    <row r="10" spans="1:12" ht="28.8" x14ac:dyDescent="0.25">
      <c r="A10" s="10" t="s">
        <v>295</v>
      </c>
      <c r="B10" s="13" t="s">
        <v>232</v>
      </c>
      <c r="C10" s="18" t="s">
        <v>63</v>
      </c>
      <c r="D10" s="38"/>
      <c r="E10" s="36" t="str">
        <f>IF(ISNUMBER(D10),"","Ievadiet sijas šķērsgriezuma augstumu")</f>
        <v>Ievadiet sijas šķērsgriezuma augstumu</v>
      </c>
    </row>
    <row r="11" spans="1:12" ht="28.8" x14ac:dyDescent="0.25">
      <c r="A11" s="10" t="s">
        <v>296</v>
      </c>
      <c r="B11" s="13" t="s">
        <v>235</v>
      </c>
      <c r="C11" s="18" t="s">
        <v>63</v>
      </c>
      <c r="D11" s="38"/>
      <c r="E11" s="36" t="str">
        <f>IF(ISNUMBER(D11),"","Ievadiet sijas šķērsgriezuma paltumu")</f>
        <v>Ievadiet sijas šķērsgriezuma paltumu</v>
      </c>
    </row>
    <row r="12" spans="1:12" x14ac:dyDescent="0.25">
      <c r="A12" s="80" t="s">
        <v>236</v>
      </c>
      <c r="B12" s="80"/>
      <c r="C12" s="80"/>
      <c r="D12" s="81"/>
      <c r="E12" s="80"/>
    </row>
    <row r="13" spans="1:12" ht="28.8" x14ac:dyDescent="0.25">
      <c r="A13" s="10" t="s">
        <v>9</v>
      </c>
      <c r="B13" s="13"/>
      <c r="C13" s="13"/>
      <c r="D13" s="13">
        <v>1.5</v>
      </c>
      <c r="E13" s="10"/>
    </row>
    <row r="14" spans="1:12" ht="28.8" x14ac:dyDescent="0.25">
      <c r="A14" s="10" t="s">
        <v>242</v>
      </c>
      <c r="B14" s="13"/>
      <c r="C14" s="13"/>
      <c r="D14" s="13">
        <v>1.35</v>
      </c>
      <c r="E14" s="10"/>
    </row>
    <row r="15" spans="1:12" ht="28.8" x14ac:dyDescent="0.25">
      <c r="A15" s="10" t="s">
        <v>243</v>
      </c>
      <c r="B15" s="13"/>
      <c r="C15" s="13"/>
      <c r="D15" s="13" t="s">
        <v>244</v>
      </c>
      <c r="E15" s="10"/>
    </row>
    <row r="16" spans="1:12" x14ac:dyDescent="0.25">
      <c r="A16" s="76" t="s">
        <v>505</v>
      </c>
      <c r="B16" s="76"/>
    </row>
    <row r="17" spans="1:5" x14ac:dyDescent="0.25">
      <c r="A17" s="95" t="s">
        <v>506</v>
      </c>
      <c r="B17" s="95"/>
      <c r="C17" s="95"/>
      <c r="D17" s="95"/>
      <c r="E17" s="95"/>
    </row>
    <row r="18" spans="1:5" x14ac:dyDescent="0.25">
      <c r="A18" s="78" t="s">
        <v>507</v>
      </c>
      <c r="B18" s="78"/>
      <c r="C18" s="78"/>
      <c r="D18" s="78"/>
      <c r="E18" s="78"/>
    </row>
    <row r="19" spans="1:5" ht="14.4" customHeight="1" x14ac:dyDescent="0.25">
      <c r="A19" s="78"/>
      <c r="B19" s="78"/>
      <c r="C19" s="78"/>
      <c r="D19" s="78"/>
      <c r="E19" s="78"/>
    </row>
    <row r="20" spans="1:5" ht="14.4" hidden="1" customHeight="1" x14ac:dyDescent="0.25">
      <c r="A20" s="78"/>
      <c r="B20" s="78"/>
      <c r="C20" s="78"/>
      <c r="D20" s="78"/>
      <c r="E20" s="78"/>
    </row>
  </sheetData>
  <sheetProtection selectLockedCells="1"/>
  <mergeCells count="9">
    <mergeCell ref="A17:E17"/>
    <mergeCell ref="A16:B16"/>
    <mergeCell ref="A18:E20"/>
    <mergeCell ref="A1:E1"/>
    <mergeCell ref="G1:L1"/>
    <mergeCell ref="A12:E12"/>
    <mergeCell ref="J2:K2"/>
    <mergeCell ref="B6:D6"/>
    <mergeCell ref="B8:D8"/>
  </mergeCell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Dati!$C$14:$C$16</xm:f>
          </x14:formula1>
          <xm:sqref>B6:D6</xm:sqref>
        </x14:dataValidation>
        <x14:dataValidation type="list" allowBlank="1" showInputMessage="1" showErrorMessage="1">
          <x14:formula1>
            <xm:f>Dati!$C$19:$C$22</xm:f>
          </x14:formula1>
          <xm:sqref>B8:D8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8"/>
  <sheetViews>
    <sheetView topLeftCell="A100" zoomScaleNormal="100" workbookViewId="0">
      <selection activeCell="E49" sqref="E49"/>
    </sheetView>
  </sheetViews>
  <sheetFormatPr defaultColWidth="0" defaultRowHeight="14.4" zeroHeight="1" x14ac:dyDescent="0.3"/>
  <cols>
    <col min="1" max="2" width="8.88671875" style="62" customWidth="1"/>
    <col min="3" max="3" width="12" style="62" bestFit="1" customWidth="1"/>
    <col min="4" max="4" width="9.5546875" style="62" bestFit="1" customWidth="1"/>
    <col min="5" max="11" width="8.88671875" style="62" customWidth="1"/>
    <col min="12" max="12" width="10.5546875" style="62" bestFit="1" customWidth="1"/>
    <col min="13" max="15" width="8.88671875" style="62" customWidth="1"/>
    <col min="16" max="16384" width="8.88671875" style="62" hidden="1"/>
  </cols>
  <sheetData>
    <row r="1" spans="1:12" ht="31.2" x14ac:dyDescent="0.6">
      <c r="A1" s="64" t="s">
        <v>249</v>
      </c>
    </row>
    <row r="2" spans="1:12" x14ac:dyDescent="0.3">
      <c r="H2" s="62">
        <f>'Pārseguma siju aprēķins'!D10</f>
        <v>0</v>
      </c>
      <c r="I2" s="62">
        <f>H2*10</f>
        <v>0</v>
      </c>
      <c r="L2" s="62" t="s">
        <v>323</v>
      </c>
    </row>
    <row r="3" spans="1:12" x14ac:dyDescent="0.3">
      <c r="A3" s="65" t="s">
        <v>250</v>
      </c>
      <c r="H3" s="62">
        <f>'Pārseguma siju aprēķins'!D11</f>
        <v>0</v>
      </c>
      <c r="I3" s="62">
        <f>H3*10</f>
        <v>0</v>
      </c>
      <c r="K3" s="62" t="s">
        <v>321</v>
      </c>
      <c r="L3" s="62" t="e">
        <f>'Pārseguma siju aprēķins'!D7</f>
        <v>#N/A</v>
      </c>
    </row>
    <row r="4" spans="1:12" x14ac:dyDescent="0.3">
      <c r="A4" s="62" t="s">
        <v>251</v>
      </c>
      <c r="D4" s="66">
        <f>I3</f>
        <v>0</v>
      </c>
      <c r="E4" s="62" t="s">
        <v>233</v>
      </c>
      <c r="K4" s="62" t="s">
        <v>322</v>
      </c>
      <c r="L4" s="62" t="e">
        <f>'Pārseguma siju aprēķins'!D9</f>
        <v>#N/A</v>
      </c>
    </row>
    <row r="5" spans="1:12" x14ac:dyDescent="0.3">
      <c r="A5" s="62" t="s">
        <v>252</v>
      </c>
      <c r="D5" s="66">
        <f>I2</f>
        <v>0</v>
      </c>
      <c r="E5" s="62" t="s">
        <v>233</v>
      </c>
    </row>
    <row r="6" spans="1:12" x14ac:dyDescent="0.3">
      <c r="A6" s="62" t="s">
        <v>253</v>
      </c>
      <c r="D6" s="66">
        <f>'Pārseguma siju aprēķins'!D3</f>
        <v>0</v>
      </c>
      <c r="E6" s="62" t="s">
        <v>254</v>
      </c>
      <c r="F6" s="66">
        <f>D6*1000</f>
        <v>0</v>
      </c>
      <c r="G6" s="62" t="s">
        <v>233</v>
      </c>
      <c r="K6" s="62" t="s">
        <v>324</v>
      </c>
      <c r="L6" s="62">
        <f>'Pārseguma siju aprēķins'!D4</f>
        <v>0</v>
      </c>
    </row>
    <row r="7" spans="1:12" x14ac:dyDescent="0.3">
      <c r="A7" s="62" t="s">
        <v>255</v>
      </c>
      <c r="D7" s="66" t="e">
        <f>L4*L6</f>
        <v>#N/A</v>
      </c>
      <c r="E7" s="62" t="s">
        <v>20</v>
      </c>
    </row>
    <row r="8" spans="1:12" x14ac:dyDescent="0.3">
      <c r="A8" s="62" t="s">
        <v>256</v>
      </c>
      <c r="D8" s="66" t="e">
        <f>L3*L6</f>
        <v>#N/A</v>
      </c>
      <c r="E8" s="62" t="s">
        <v>20</v>
      </c>
    </row>
    <row r="9" spans="1:12" ht="16.8" x14ac:dyDescent="0.35">
      <c r="A9" s="62" t="s">
        <v>257</v>
      </c>
      <c r="D9" s="67" t="s">
        <v>244</v>
      </c>
      <c r="E9" s="67" t="s">
        <v>258</v>
      </c>
      <c r="F9" s="62" t="s">
        <v>480</v>
      </c>
      <c r="G9" s="62">
        <v>24</v>
      </c>
      <c r="H9" s="62" t="s">
        <v>481</v>
      </c>
      <c r="I9" s="62" t="s">
        <v>482</v>
      </c>
      <c r="J9" s="66">
        <v>2.5</v>
      </c>
      <c r="K9" s="62" t="s">
        <v>481</v>
      </c>
    </row>
    <row r="10" spans="1:12" ht="15.6" x14ac:dyDescent="0.35">
      <c r="A10" s="62" t="s">
        <v>259</v>
      </c>
      <c r="D10" s="62">
        <v>1</v>
      </c>
      <c r="E10" s="67" t="s">
        <v>258</v>
      </c>
      <c r="F10" s="62" t="s">
        <v>260</v>
      </c>
      <c r="H10" s="67" t="s">
        <v>258</v>
      </c>
      <c r="I10" s="62" t="s">
        <v>483</v>
      </c>
      <c r="J10" s="62">
        <v>0.8</v>
      </c>
    </row>
    <row r="11" spans="1:12" ht="15.6" x14ac:dyDescent="0.35">
      <c r="I11" s="62" t="s">
        <v>484</v>
      </c>
      <c r="J11" s="62">
        <v>7400</v>
      </c>
    </row>
    <row r="12" spans="1:12" ht="16.8" x14ac:dyDescent="0.35">
      <c r="A12" s="65" t="s">
        <v>261</v>
      </c>
      <c r="I12" s="62" t="s">
        <v>485</v>
      </c>
      <c r="J12" s="62">
        <v>1100</v>
      </c>
      <c r="K12" s="62" t="s">
        <v>481</v>
      </c>
    </row>
    <row r="13" spans="1:12" x14ac:dyDescent="0.3"/>
    <row r="14" spans="1:12" x14ac:dyDescent="0.3">
      <c r="A14" s="62" t="s">
        <v>262</v>
      </c>
    </row>
    <row r="15" spans="1:12" ht="15.6" x14ac:dyDescent="0.35">
      <c r="A15" s="62" t="s">
        <v>486</v>
      </c>
      <c r="B15" s="66">
        <f>'Pārseguma siju aprēķins'!D5*1000</f>
        <v>0</v>
      </c>
      <c r="C15" s="62" t="s">
        <v>233</v>
      </c>
      <c r="D15" s="67" t="s">
        <v>258</v>
      </c>
      <c r="E15" s="66">
        <f>B15/1000</f>
        <v>0</v>
      </c>
      <c r="F15" s="62" t="s">
        <v>18</v>
      </c>
    </row>
    <row r="16" spans="1:12" ht="15.6" x14ac:dyDescent="0.35">
      <c r="A16" s="62" t="s">
        <v>487</v>
      </c>
      <c r="C16" s="66">
        <f>D6+E15</f>
        <v>0</v>
      </c>
      <c r="D16" s="62" t="s">
        <v>18</v>
      </c>
      <c r="E16" s="67" t="s">
        <v>258</v>
      </c>
      <c r="F16" s="66">
        <f>C16*1000</f>
        <v>0</v>
      </c>
      <c r="G16" s="62" t="s">
        <v>233</v>
      </c>
    </row>
    <row r="17" spans="1:15" ht="15.6" x14ac:dyDescent="0.35">
      <c r="A17" s="62" t="s">
        <v>488</v>
      </c>
      <c r="C17" s="66">
        <f>D6+2*E15</f>
        <v>0</v>
      </c>
      <c r="D17" s="62" t="s">
        <v>18</v>
      </c>
      <c r="E17" s="67" t="s">
        <v>258</v>
      </c>
      <c r="F17" s="66">
        <f>C17*1000</f>
        <v>0</v>
      </c>
      <c r="G17" s="62" t="s">
        <v>233</v>
      </c>
    </row>
    <row r="18" spans="1:15" x14ac:dyDescent="0.3"/>
    <row r="19" spans="1:15" ht="18" x14ac:dyDescent="0.35">
      <c r="A19" s="68" t="s">
        <v>263</v>
      </c>
    </row>
    <row r="20" spans="1:15" x14ac:dyDescent="0.3">
      <c r="F20" s="62" t="s">
        <v>264</v>
      </c>
      <c r="G20" s="66">
        <v>1.35</v>
      </c>
    </row>
    <row r="21" spans="1:15" ht="15.6" x14ac:dyDescent="0.35">
      <c r="A21" s="62" t="s">
        <v>489</v>
      </c>
      <c r="D21" s="66" t="e">
        <f>G20*D7+G21*D8</f>
        <v>#N/A</v>
      </c>
      <c r="E21" s="62" t="s">
        <v>20</v>
      </c>
      <c r="F21" s="62" t="s">
        <v>265</v>
      </c>
      <c r="G21" s="66">
        <v>1.5</v>
      </c>
    </row>
    <row r="22" spans="1:15" x14ac:dyDescent="0.3"/>
    <row r="23" spans="1:15" ht="18" x14ac:dyDescent="0.35">
      <c r="A23" s="68" t="s">
        <v>266</v>
      </c>
      <c r="B23" s="69"/>
      <c r="C23" s="69"/>
    </row>
    <row r="24" spans="1:15" ht="15.6" x14ac:dyDescent="0.35">
      <c r="F24" s="62" t="s">
        <v>490</v>
      </c>
      <c r="I24" s="70">
        <v>0.7</v>
      </c>
    </row>
    <row r="25" spans="1:15" ht="16.8" x14ac:dyDescent="0.35">
      <c r="D25" s="71">
        <f>(D4*(D5^2))/6</f>
        <v>0</v>
      </c>
      <c r="E25" s="62" t="s">
        <v>491</v>
      </c>
      <c r="F25" s="62" t="s">
        <v>492</v>
      </c>
      <c r="I25" s="70">
        <v>1</v>
      </c>
    </row>
    <row r="26" spans="1:15" x14ac:dyDescent="0.3"/>
    <row r="27" spans="1:15" x14ac:dyDescent="0.3"/>
    <row r="28" spans="1:15" ht="16.2" x14ac:dyDescent="0.3">
      <c r="D28" s="66" t="e">
        <f>(D21*C16^2)/8</f>
        <v>#N/A</v>
      </c>
      <c r="E28" s="62" t="s">
        <v>36</v>
      </c>
      <c r="F28" s="67" t="s">
        <v>258</v>
      </c>
      <c r="G28" s="62" t="e">
        <f>D28*1000000</f>
        <v>#N/A</v>
      </c>
      <c r="H28" s="62" t="s">
        <v>481</v>
      </c>
    </row>
    <row r="29" spans="1:15" x14ac:dyDescent="0.3"/>
    <row r="30" spans="1:15" ht="16.2" x14ac:dyDescent="0.3">
      <c r="D30" s="66" t="e">
        <f>G28/D25</f>
        <v>#N/A</v>
      </c>
      <c r="E30" s="62" t="s">
        <v>481</v>
      </c>
      <c r="L30" s="97" t="s">
        <v>267</v>
      </c>
      <c r="M30" s="97"/>
      <c r="N30" s="97"/>
      <c r="O30" s="62" t="s">
        <v>268</v>
      </c>
    </row>
    <row r="31" spans="1:15" ht="16.8" x14ac:dyDescent="0.35">
      <c r="G31" s="62" t="s">
        <v>269</v>
      </c>
      <c r="I31" s="62" t="s">
        <v>493</v>
      </c>
      <c r="L31" s="66" t="e">
        <f>(150/D5)^0.2</f>
        <v>#DIV/0!</v>
      </c>
      <c r="M31" s="72" t="s">
        <v>270</v>
      </c>
      <c r="N31" s="73">
        <v>1.3</v>
      </c>
      <c r="O31" s="66" t="e">
        <f>MIN(N31,L31)</f>
        <v>#DIV/0!</v>
      </c>
    </row>
    <row r="32" spans="1:15" ht="16.8" x14ac:dyDescent="0.35">
      <c r="D32" s="66">
        <f>(J10*G9)/J35</f>
        <v>14.76923076923077</v>
      </c>
      <c r="E32" s="62" t="s">
        <v>481</v>
      </c>
      <c r="G32" s="62" t="s">
        <v>271</v>
      </c>
      <c r="I32" s="62" t="s">
        <v>494</v>
      </c>
      <c r="L32" s="66" t="e">
        <f>(600/D5)^0.1</f>
        <v>#DIV/0!</v>
      </c>
      <c r="M32" s="72" t="s">
        <v>270</v>
      </c>
      <c r="N32" s="73">
        <v>1.1000000000000001</v>
      </c>
      <c r="O32" s="66" t="e">
        <f t="shared" ref="O32:O33" si="0">MIN(N32,L32)</f>
        <v>#DIV/0!</v>
      </c>
    </row>
    <row r="33" spans="1:15" ht="16.8" x14ac:dyDescent="0.35">
      <c r="G33" s="62" t="s">
        <v>272</v>
      </c>
      <c r="I33" s="62" t="s">
        <v>495</v>
      </c>
      <c r="L33" s="66" t="e">
        <f>(300/D5)^5</f>
        <v>#DIV/0!</v>
      </c>
      <c r="M33" s="72" t="s">
        <v>270</v>
      </c>
      <c r="N33" s="73">
        <v>1.2</v>
      </c>
      <c r="O33" s="66" t="e">
        <f t="shared" si="0"/>
        <v>#DIV/0!</v>
      </c>
    </row>
    <row r="34" spans="1:15" x14ac:dyDescent="0.3"/>
    <row r="35" spans="1:15" ht="15.6" x14ac:dyDescent="0.35">
      <c r="G35" s="62" t="s">
        <v>269</v>
      </c>
      <c r="I35" s="63" t="s">
        <v>496</v>
      </c>
      <c r="J35" s="62">
        <v>1.3</v>
      </c>
    </row>
    <row r="36" spans="1:15" ht="15.6" x14ac:dyDescent="0.35">
      <c r="A36" s="65" t="s">
        <v>273</v>
      </c>
      <c r="G36" s="62" t="s">
        <v>271</v>
      </c>
      <c r="I36" s="63" t="s">
        <v>496</v>
      </c>
      <c r="J36" s="62">
        <v>1.25</v>
      </c>
    </row>
    <row r="37" spans="1:15" ht="15.6" x14ac:dyDescent="0.35">
      <c r="G37" s="62" t="s">
        <v>272</v>
      </c>
      <c r="I37" s="63" t="s">
        <v>496</v>
      </c>
      <c r="J37" s="62">
        <v>1.2</v>
      </c>
    </row>
    <row r="38" spans="1:15" x14ac:dyDescent="0.3">
      <c r="C38" s="66" t="e">
        <f>(D30)/D32</f>
        <v>#N/A</v>
      </c>
      <c r="D38" s="62" t="s">
        <v>274</v>
      </c>
    </row>
    <row r="39" spans="1:15" x14ac:dyDescent="0.3"/>
    <row r="40" spans="1:15" x14ac:dyDescent="0.3">
      <c r="G40" s="62" t="e">
        <f>(C38/1)*100</f>
        <v>#N/A</v>
      </c>
    </row>
    <row r="41" spans="1:15" ht="18" x14ac:dyDescent="0.35">
      <c r="A41" s="68" t="s">
        <v>275</v>
      </c>
    </row>
    <row r="42" spans="1:15" x14ac:dyDescent="0.3"/>
    <row r="43" spans="1:15" x14ac:dyDescent="0.3">
      <c r="A43" s="62" t="s">
        <v>276</v>
      </c>
    </row>
    <row r="44" spans="1:15" x14ac:dyDescent="0.3"/>
    <row r="45" spans="1:15" ht="15.6" x14ac:dyDescent="0.35">
      <c r="C45" s="62">
        <f>J45*D4</f>
        <v>0</v>
      </c>
      <c r="D45" s="62" t="s">
        <v>233</v>
      </c>
      <c r="F45" s="63"/>
      <c r="G45" s="62" t="s">
        <v>269</v>
      </c>
      <c r="I45" s="63" t="s">
        <v>497</v>
      </c>
      <c r="J45" s="62">
        <v>0.67</v>
      </c>
    </row>
    <row r="46" spans="1:15" ht="15.6" x14ac:dyDescent="0.35">
      <c r="G46" s="62" t="s">
        <v>271</v>
      </c>
      <c r="I46" s="63" t="s">
        <v>497</v>
      </c>
      <c r="J46" s="62">
        <v>0.67</v>
      </c>
    </row>
    <row r="47" spans="1:15" ht="15.6" x14ac:dyDescent="0.35">
      <c r="C47" s="66" t="e">
        <f>(D21*C16)/2</f>
        <v>#N/A</v>
      </c>
      <c r="D47" s="62" t="s">
        <v>277</v>
      </c>
      <c r="E47" s="62" t="e">
        <f>C47*1000</f>
        <v>#N/A</v>
      </c>
      <c r="F47" s="62" t="s">
        <v>278</v>
      </c>
      <c r="G47" s="62" t="s">
        <v>279</v>
      </c>
      <c r="I47" s="63" t="s">
        <v>497</v>
      </c>
      <c r="J47" s="62">
        <v>1</v>
      </c>
    </row>
    <row r="48" spans="1:15" x14ac:dyDescent="0.3"/>
    <row r="49" spans="1:5" ht="16.2" x14ac:dyDescent="0.3">
      <c r="C49" s="62">
        <f>C45*D5</f>
        <v>0</v>
      </c>
      <c r="D49" s="62" t="s">
        <v>498</v>
      </c>
    </row>
    <row r="50" spans="1:5" x14ac:dyDescent="0.3"/>
    <row r="51" spans="1:5" ht="16.2" x14ac:dyDescent="0.3">
      <c r="C51" s="66" t="e">
        <f>(3*E47)/(2*C49)</f>
        <v>#N/A</v>
      </c>
      <c r="D51" s="62" t="s">
        <v>481</v>
      </c>
    </row>
    <row r="52" spans="1:5" x14ac:dyDescent="0.3"/>
    <row r="53" spans="1:5" x14ac:dyDescent="0.3"/>
    <row r="54" spans="1:5" ht="16.2" x14ac:dyDescent="0.3">
      <c r="D54" s="62">
        <f>(J10*J9)/J36</f>
        <v>1.6</v>
      </c>
      <c r="E54" s="62" t="s">
        <v>481</v>
      </c>
    </row>
    <row r="55" spans="1:5" x14ac:dyDescent="0.3"/>
    <row r="56" spans="1:5" x14ac:dyDescent="0.3"/>
    <row r="57" spans="1:5" x14ac:dyDescent="0.3">
      <c r="A57" s="65" t="s">
        <v>280</v>
      </c>
    </row>
    <row r="58" spans="1:5" x14ac:dyDescent="0.3"/>
    <row r="59" spans="1:5" x14ac:dyDescent="0.3">
      <c r="C59" s="66" t="e">
        <f>C51/D54</f>
        <v>#N/A</v>
      </c>
      <c r="D59" s="62" t="s">
        <v>274</v>
      </c>
    </row>
    <row r="60" spans="1:5" x14ac:dyDescent="0.3"/>
    <row r="61" spans="1:5" x14ac:dyDescent="0.3"/>
    <row r="62" spans="1:5" ht="18" x14ac:dyDescent="0.35">
      <c r="A62" s="68" t="s">
        <v>281</v>
      </c>
    </row>
    <row r="63" spans="1:5" x14ac:dyDescent="0.3"/>
    <row r="64" spans="1:5" x14ac:dyDescent="0.3">
      <c r="A64" s="62" t="s">
        <v>276</v>
      </c>
    </row>
    <row r="65" spans="1:10" x14ac:dyDescent="0.3"/>
    <row r="66" spans="1:10" x14ac:dyDescent="0.3">
      <c r="C66" s="62">
        <f>0.9*F6+2*D5</f>
        <v>0</v>
      </c>
      <c r="D66" s="62" t="s">
        <v>233</v>
      </c>
    </row>
    <row r="67" spans="1:10" x14ac:dyDescent="0.3"/>
    <row r="68" spans="1:10" ht="16.2" x14ac:dyDescent="0.3">
      <c r="A68" s="62" t="s">
        <v>282</v>
      </c>
      <c r="I68" s="66" t="e">
        <f>(0.78*(D4^2)*J11)/(D5*C66)</f>
        <v>#DIV/0!</v>
      </c>
      <c r="J68" s="62" t="s">
        <v>481</v>
      </c>
    </row>
    <row r="69" spans="1:10" x14ac:dyDescent="0.3"/>
    <row r="70" spans="1:10" x14ac:dyDescent="0.3">
      <c r="C70" s="74" t="s">
        <v>283</v>
      </c>
      <c r="D70" s="74"/>
      <c r="F70" s="74" t="s">
        <v>284</v>
      </c>
    </row>
    <row r="71" spans="1:10" ht="15.6" x14ac:dyDescent="0.35">
      <c r="C71" s="66" t="e">
        <f>SQRT(G9/I68)</f>
        <v>#DIV/0!</v>
      </c>
      <c r="D71" s="63" t="s">
        <v>285</v>
      </c>
      <c r="E71" s="63"/>
      <c r="F71" s="63" t="s">
        <v>499</v>
      </c>
      <c r="G71" s="62">
        <v>1</v>
      </c>
    </row>
    <row r="72" spans="1:10" x14ac:dyDescent="0.3"/>
    <row r="73" spans="1:10" x14ac:dyDescent="0.3"/>
    <row r="74" spans="1:10" ht="15.6" x14ac:dyDescent="0.35">
      <c r="D74" s="62" t="s">
        <v>500</v>
      </c>
      <c r="E74" s="63"/>
      <c r="F74" s="63" t="s">
        <v>499</v>
      </c>
      <c r="G74" s="62" t="s">
        <v>501</v>
      </c>
      <c r="I74" s="62" t="e">
        <f>1.56-0.75*C71</f>
        <v>#DIV/0!</v>
      </c>
    </row>
    <row r="75" spans="1:10" x14ac:dyDescent="0.3"/>
    <row r="76" spans="1:10" x14ac:dyDescent="0.3"/>
    <row r="77" spans="1:10" ht="15.6" x14ac:dyDescent="0.35">
      <c r="D77" s="63" t="s">
        <v>502</v>
      </c>
      <c r="E77" s="63"/>
      <c r="F77" s="63" t="s">
        <v>499</v>
      </c>
      <c r="H77" s="62" t="e">
        <f>1/(C71^2)</f>
        <v>#DIV/0!</v>
      </c>
    </row>
    <row r="78" spans="1:10" x14ac:dyDescent="0.3"/>
    <row r="79" spans="1:10" x14ac:dyDescent="0.3"/>
    <row r="80" spans="1:10" x14ac:dyDescent="0.3">
      <c r="A80" s="65" t="s">
        <v>286</v>
      </c>
    </row>
    <row r="81" spans="1:9" x14ac:dyDescent="0.3"/>
    <row r="82" spans="1:9" x14ac:dyDescent="0.3"/>
    <row r="83" spans="1:9" ht="16.2" x14ac:dyDescent="0.3">
      <c r="C83" s="66" t="e">
        <f>D30/(G71*H83)</f>
        <v>#N/A</v>
      </c>
      <c r="D83" s="62" t="s">
        <v>274</v>
      </c>
      <c r="H83" s="62">
        <f>(J10*G9)/J36</f>
        <v>15.360000000000003</v>
      </c>
      <c r="I83" s="62" t="s">
        <v>481</v>
      </c>
    </row>
    <row r="84" spans="1:9" x14ac:dyDescent="0.3"/>
    <row r="85" spans="1:9" x14ac:dyDescent="0.3"/>
    <row r="86" spans="1:9" ht="18" x14ac:dyDescent="0.35">
      <c r="A86" s="68" t="s">
        <v>287</v>
      </c>
    </row>
    <row r="87" spans="1:9" x14ac:dyDescent="0.3"/>
    <row r="88" spans="1:9" x14ac:dyDescent="0.3"/>
    <row r="89" spans="1:9" x14ac:dyDescent="0.3"/>
    <row r="90" spans="1:9" x14ac:dyDescent="0.3"/>
    <row r="91" spans="1:9" x14ac:dyDescent="0.3"/>
    <row r="92" spans="1:9" x14ac:dyDescent="0.3"/>
    <row r="93" spans="1:9" x14ac:dyDescent="0.3"/>
    <row r="94" spans="1:9" x14ac:dyDescent="0.3">
      <c r="E94" s="66" t="e">
        <f>(5*D7*C16^4*10^12)/(384*J12*C97)</f>
        <v>#N/A</v>
      </c>
      <c r="F94" s="62" t="s">
        <v>233</v>
      </c>
    </row>
    <row r="95" spans="1:9" x14ac:dyDescent="0.3"/>
    <row r="96" spans="1:9" x14ac:dyDescent="0.3"/>
    <row r="97" spans="1:11" ht="16.2" x14ac:dyDescent="0.3">
      <c r="C97" s="62">
        <f>(D4*D5^3)/12</f>
        <v>0</v>
      </c>
      <c r="D97" s="62" t="s">
        <v>503</v>
      </c>
    </row>
    <row r="98" spans="1:11" x14ac:dyDescent="0.3"/>
    <row r="99" spans="1:11" x14ac:dyDescent="0.3">
      <c r="D99" s="66" t="e">
        <f>E94*(1+J101)</f>
        <v>#N/A</v>
      </c>
      <c r="E99" s="62" t="s">
        <v>233</v>
      </c>
      <c r="I99" s="74" t="s">
        <v>288</v>
      </c>
    </row>
    <row r="100" spans="1:11" x14ac:dyDescent="0.3">
      <c r="G100" s="62" t="s">
        <v>289</v>
      </c>
      <c r="I100" s="72">
        <v>1</v>
      </c>
      <c r="J100" s="72">
        <v>2</v>
      </c>
      <c r="K100" s="72">
        <v>3</v>
      </c>
    </row>
    <row r="101" spans="1:11" ht="15.6" x14ac:dyDescent="0.35">
      <c r="H101" s="62" t="s">
        <v>504</v>
      </c>
      <c r="I101" s="72">
        <v>0.6</v>
      </c>
      <c r="J101" s="72">
        <v>0.8</v>
      </c>
      <c r="K101" s="72">
        <v>2</v>
      </c>
    </row>
    <row r="102" spans="1:11" x14ac:dyDescent="0.3">
      <c r="E102" s="66" t="e">
        <f>(5*D8*C16^4*10^12)/(384*J12*C97)</f>
        <v>#N/A</v>
      </c>
      <c r="F102" s="62" t="s">
        <v>233</v>
      </c>
    </row>
    <row r="103" spans="1:11" x14ac:dyDescent="0.3"/>
    <row r="104" spans="1:11" x14ac:dyDescent="0.3"/>
    <row r="105" spans="1:11" x14ac:dyDescent="0.3">
      <c r="D105" s="66" t="e">
        <f>E102*(1+0.3*J101)</f>
        <v>#N/A</v>
      </c>
      <c r="E105" s="62" t="s">
        <v>233</v>
      </c>
    </row>
    <row r="106" spans="1:11" x14ac:dyDescent="0.3"/>
    <row r="107" spans="1:11" x14ac:dyDescent="0.3"/>
    <row r="108" spans="1:11" x14ac:dyDescent="0.3"/>
    <row r="109" spans="1:11" x14ac:dyDescent="0.3">
      <c r="D109" s="66" t="e">
        <f>D99+D105</f>
        <v>#N/A</v>
      </c>
      <c r="E109" s="62" t="s">
        <v>233</v>
      </c>
    </row>
    <row r="110" spans="1:11" x14ac:dyDescent="0.3"/>
    <row r="111" spans="1:11" x14ac:dyDescent="0.3">
      <c r="A111" s="65" t="s">
        <v>290</v>
      </c>
    </row>
    <row r="112" spans="1:11" x14ac:dyDescent="0.3"/>
    <row r="113" spans="2:5" x14ac:dyDescent="0.3">
      <c r="B113" s="75" t="e">
        <f>D109/100</f>
        <v>#N/A</v>
      </c>
      <c r="C113" s="72" t="s">
        <v>325</v>
      </c>
      <c r="D113" s="75">
        <f>(D6*100)/250</f>
        <v>0</v>
      </c>
      <c r="E113" s="62" t="s">
        <v>233</v>
      </c>
    </row>
    <row r="114" spans="2:5" x14ac:dyDescent="0.3"/>
    <row r="115" spans="2:5" x14ac:dyDescent="0.3"/>
    <row r="116" spans="2:5" x14ac:dyDescent="0.3"/>
    <row r="117" spans="2:5" x14ac:dyDescent="0.3">
      <c r="B117" s="62" t="e">
        <f>(B113/D113)*100</f>
        <v>#N/A</v>
      </c>
    </row>
    <row r="118" spans="2:5" x14ac:dyDescent="0.3"/>
  </sheetData>
  <sheetProtection algorithmName="SHA-512" hashValue="AEAVunyGoHy17fcdiGiuGKDksYPsaoSBnlTKA3zI/4ggr1jgUozaJ9CElSyIDdKxERv+iKYnm4RTI0oqxqc98w==" saltValue="w8OuLQLPCLhhUqMAmaWs0A==" spinCount="100000" sheet="1" objects="1" scenarios="1" selectLockedCells="1" selectUnlockedCells="1"/>
  <mergeCells count="1">
    <mergeCell ref="L30:N3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1001"/>
  <sheetViews>
    <sheetView workbookViewId="0">
      <selection activeCell="L16" sqref="L16"/>
    </sheetView>
  </sheetViews>
  <sheetFormatPr defaultRowHeight="13.2" x14ac:dyDescent="0.25"/>
  <cols>
    <col min="3" max="3" width="66.5546875" customWidth="1"/>
    <col min="4" max="4" width="10.6640625" customWidth="1"/>
  </cols>
  <sheetData>
    <row r="1" spans="3:9" x14ac:dyDescent="0.25">
      <c r="F1" s="15" t="s">
        <v>315</v>
      </c>
      <c r="G1" s="15" t="s">
        <v>316</v>
      </c>
      <c r="H1" s="15" t="s">
        <v>317</v>
      </c>
      <c r="I1" s="15" t="s">
        <v>318</v>
      </c>
    </row>
    <row r="2" spans="3:9" ht="14.4" x14ac:dyDescent="0.25">
      <c r="C2" s="4" t="s">
        <v>224</v>
      </c>
      <c r="D2" s="5" t="s">
        <v>307</v>
      </c>
      <c r="F2">
        <v>0.01</v>
      </c>
      <c r="G2">
        <v>1</v>
      </c>
    </row>
    <row r="3" spans="3:9" ht="14.4" x14ac:dyDescent="0.25">
      <c r="C3" s="6" t="s">
        <v>301</v>
      </c>
      <c r="D3" s="7">
        <v>7.4999999999999997E-2</v>
      </c>
      <c r="F3">
        <v>0.02</v>
      </c>
      <c r="G3">
        <v>2</v>
      </c>
    </row>
    <row r="4" spans="3:9" ht="14.4" x14ac:dyDescent="0.25">
      <c r="C4" s="6" t="s">
        <v>302</v>
      </c>
      <c r="D4" s="7">
        <v>0.18</v>
      </c>
      <c r="F4">
        <v>0.03</v>
      </c>
      <c r="G4">
        <v>3</v>
      </c>
    </row>
    <row r="5" spans="3:9" ht="14.4" x14ac:dyDescent="0.25">
      <c r="C5" s="6" t="s">
        <v>303</v>
      </c>
      <c r="D5" s="7">
        <v>0.22500000000000001</v>
      </c>
      <c r="F5">
        <v>0.04</v>
      </c>
      <c r="G5">
        <v>4</v>
      </c>
    </row>
    <row r="6" spans="3:9" ht="14.4" x14ac:dyDescent="0.25">
      <c r="C6" s="6" t="s">
        <v>308</v>
      </c>
      <c r="D6" s="7">
        <v>0.53</v>
      </c>
      <c r="F6">
        <v>0.05</v>
      </c>
      <c r="G6">
        <v>5</v>
      </c>
    </row>
    <row r="7" spans="3:9" ht="14.4" x14ac:dyDescent="0.25">
      <c r="C7" s="6" t="s">
        <v>304</v>
      </c>
      <c r="D7" s="7">
        <v>0.56899999999999995</v>
      </c>
      <c r="F7">
        <v>0.06</v>
      </c>
      <c r="G7">
        <v>6</v>
      </c>
    </row>
    <row r="8" spans="3:9" ht="14.4" x14ac:dyDescent="0.25">
      <c r="C8" s="6" t="s">
        <v>305</v>
      </c>
      <c r="D8" s="7">
        <v>0.67400000000000004</v>
      </c>
      <c r="F8">
        <v>7.0000000000000007E-2</v>
      </c>
      <c r="G8">
        <v>7</v>
      </c>
    </row>
    <row r="9" spans="3:9" ht="14.4" x14ac:dyDescent="0.25">
      <c r="C9" s="6" t="s">
        <v>306</v>
      </c>
      <c r="D9" s="7">
        <v>0.71899999999999997</v>
      </c>
      <c r="F9">
        <v>0.08</v>
      </c>
      <c r="G9">
        <v>8</v>
      </c>
    </row>
    <row r="10" spans="3:9" ht="14.4" x14ac:dyDescent="0.25">
      <c r="C10" s="8" t="s">
        <v>309</v>
      </c>
      <c r="D10" s="9">
        <v>1.024</v>
      </c>
      <c r="F10">
        <v>0.09</v>
      </c>
      <c r="G10">
        <v>9</v>
      </c>
    </row>
    <row r="11" spans="3:9" x14ac:dyDescent="0.25">
      <c r="F11">
        <v>0.1</v>
      </c>
      <c r="G11">
        <v>10</v>
      </c>
    </row>
    <row r="12" spans="3:9" x14ac:dyDescent="0.25">
      <c r="F12">
        <v>0.11</v>
      </c>
      <c r="G12">
        <v>11</v>
      </c>
    </row>
    <row r="13" spans="3:9" x14ac:dyDescent="0.25">
      <c r="C13" s="15" t="s">
        <v>329</v>
      </c>
      <c r="D13" s="15" t="s">
        <v>328</v>
      </c>
      <c r="F13">
        <v>0.12</v>
      </c>
      <c r="G13">
        <v>12</v>
      </c>
    </row>
    <row r="14" spans="3:9" x14ac:dyDescent="0.25">
      <c r="C14" s="15" t="s">
        <v>332</v>
      </c>
      <c r="D14" s="39">
        <v>0.7</v>
      </c>
      <c r="F14">
        <v>0.13</v>
      </c>
      <c r="G14">
        <v>13</v>
      </c>
    </row>
    <row r="15" spans="3:9" x14ac:dyDescent="0.25">
      <c r="C15" s="15" t="s">
        <v>331</v>
      </c>
      <c r="D15" s="39">
        <v>2</v>
      </c>
      <c r="F15">
        <v>0.14000000000000001</v>
      </c>
      <c r="G15">
        <v>14</v>
      </c>
    </row>
    <row r="16" spans="3:9" x14ac:dyDescent="0.25">
      <c r="C16" s="15" t="s">
        <v>330</v>
      </c>
      <c r="D16" s="39">
        <v>7</v>
      </c>
      <c r="F16">
        <v>0.15</v>
      </c>
      <c r="G16">
        <v>15</v>
      </c>
    </row>
    <row r="17" spans="3:7" x14ac:dyDescent="0.25">
      <c r="F17">
        <v>0.16</v>
      </c>
      <c r="G17">
        <v>16</v>
      </c>
    </row>
    <row r="18" spans="3:7" x14ac:dyDescent="0.25">
      <c r="C18" s="15" t="s">
        <v>333</v>
      </c>
      <c r="D18" s="15" t="s">
        <v>307</v>
      </c>
      <c r="F18">
        <v>0.17</v>
      </c>
      <c r="G18">
        <v>17</v>
      </c>
    </row>
    <row r="19" spans="3:7" x14ac:dyDescent="0.25">
      <c r="C19" s="15" t="s">
        <v>334</v>
      </c>
      <c r="D19">
        <v>0.25</v>
      </c>
      <c r="F19">
        <v>0.18</v>
      </c>
      <c r="G19">
        <v>18</v>
      </c>
    </row>
    <row r="20" spans="3:7" x14ac:dyDescent="0.25">
      <c r="C20" s="15" t="s">
        <v>335</v>
      </c>
      <c r="D20">
        <v>0.45100000000000001</v>
      </c>
      <c r="F20">
        <v>0.19</v>
      </c>
      <c r="G20">
        <v>19</v>
      </c>
    </row>
    <row r="21" spans="3:7" x14ac:dyDescent="0.25">
      <c r="C21" s="15" t="s">
        <v>336</v>
      </c>
      <c r="D21">
        <v>0.32</v>
      </c>
      <c r="F21">
        <v>0.2</v>
      </c>
      <c r="G21">
        <v>20</v>
      </c>
    </row>
    <row r="22" spans="3:7" x14ac:dyDescent="0.25">
      <c r="C22" s="15" t="s">
        <v>337</v>
      </c>
      <c r="D22">
        <v>0.52100000000000002</v>
      </c>
      <c r="F22">
        <v>0.21</v>
      </c>
      <c r="G22">
        <v>21</v>
      </c>
    </row>
    <row r="23" spans="3:7" x14ac:dyDescent="0.25">
      <c r="F23">
        <v>0.22</v>
      </c>
      <c r="G23">
        <v>22</v>
      </c>
    </row>
    <row r="24" spans="3:7" x14ac:dyDescent="0.25">
      <c r="F24">
        <v>0.23</v>
      </c>
      <c r="G24">
        <v>23</v>
      </c>
    </row>
    <row r="25" spans="3:7" x14ac:dyDescent="0.25">
      <c r="F25">
        <v>0.24</v>
      </c>
      <c r="G25">
        <v>24</v>
      </c>
    </row>
    <row r="26" spans="3:7" x14ac:dyDescent="0.25">
      <c r="F26">
        <v>0.25</v>
      </c>
      <c r="G26">
        <v>25</v>
      </c>
    </row>
    <row r="27" spans="3:7" x14ac:dyDescent="0.25">
      <c r="F27">
        <v>0.26</v>
      </c>
      <c r="G27">
        <v>26</v>
      </c>
    </row>
    <row r="28" spans="3:7" x14ac:dyDescent="0.25">
      <c r="F28">
        <v>0.27</v>
      </c>
      <c r="G28">
        <v>27</v>
      </c>
    </row>
    <row r="29" spans="3:7" x14ac:dyDescent="0.25">
      <c r="F29">
        <v>0.28000000000000003</v>
      </c>
      <c r="G29">
        <v>28</v>
      </c>
    </row>
    <row r="30" spans="3:7" x14ac:dyDescent="0.25">
      <c r="F30">
        <v>0.28999999999999998</v>
      </c>
      <c r="G30">
        <v>29</v>
      </c>
    </row>
    <row r="31" spans="3:7" x14ac:dyDescent="0.25">
      <c r="F31">
        <v>0.3</v>
      </c>
      <c r="G31">
        <v>30</v>
      </c>
    </row>
    <row r="32" spans="3:7" x14ac:dyDescent="0.25">
      <c r="F32">
        <v>0.31</v>
      </c>
      <c r="G32">
        <v>31</v>
      </c>
    </row>
    <row r="33" spans="6:7" x14ac:dyDescent="0.25">
      <c r="F33">
        <v>0.32</v>
      </c>
      <c r="G33">
        <v>32</v>
      </c>
    </row>
    <row r="34" spans="6:7" x14ac:dyDescent="0.25">
      <c r="F34">
        <v>0.33</v>
      </c>
      <c r="G34">
        <v>33</v>
      </c>
    </row>
    <row r="35" spans="6:7" x14ac:dyDescent="0.25">
      <c r="F35">
        <v>0.34</v>
      </c>
      <c r="G35">
        <v>34</v>
      </c>
    </row>
    <row r="36" spans="6:7" x14ac:dyDescent="0.25">
      <c r="F36">
        <v>0.35</v>
      </c>
      <c r="G36">
        <v>35</v>
      </c>
    </row>
    <row r="37" spans="6:7" x14ac:dyDescent="0.25">
      <c r="F37">
        <v>0.36</v>
      </c>
      <c r="G37">
        <v>36</v>
      </c>
    </row>
    <row r="38" spans="6:7" x14ac:dyDescent="0.25">
      <c r="F38">
        <v>0.37</v>
      </c>
      <c r="G38">
        <v>37</v>
      </c>
    </row>
    <row r="39" spans="6:7" x14ac:dyDescent="0.25">
      <c r="F39">
        <v>0.38</v>
      </c>
      <c r="G39">
        <v>38</v>
      </c>
    </row>
    <row r="40" spans="6:7" x14ac:dyDescent="0.25">
      <c r="F40">
        <v>0.39</v>
      </c>
      <c r="G40">
        <v>39</v>
      </c>
    </row>
    <row r="41" spans="6:7" x14ac:dyDescent="0.25">
      <c r="F41">
        <v>0.4</v>
      </c>
      <c r="G41">
        <v>40</v>
      </c>
    </row>
    <row r="42" spans="6:7" x14ac:dyDescent="0.25">
      <c r="F42">
        <v>0.41</v>
      </c>
      <c r="G42">
        <v>41</v>
      </c>
    </row>
    <row r="43" spans="6:7" x14ac:dyDescent="0.25">
      <c r="F43">
        <v>0.42</v>
      </c>
      <c r="G43">
        <v>42</v>
      </c>
    </row>
    <row r="44" spans="6:7" x14ac:dyDescent="0.25">
      <c r="F44">
        <v>0.43</v>
      </c>
      <c r="G44">
        <v>43</v>
      </c>
    </row>
    <row r="45" spans="6:7" x14ac:dyDescent="0.25">
      <c r="F45">
        <v>0.44</v>
      </c>
      <c r="G45">
        <v>44</v>
      </c>
    </row>
    <row r="46" spans="6:7" x14ac:dyDescent="0.25">
      <c r="F46">
        <v>0.45</v>
      </c>
      <c r="G46">
        <v>45</v>
      </c>
    </row>
    <row r="47" spans="6:7" x14ac:dyDescent="0.25">
      <c r="F47">
        <v>0.46</v>
      </c>
      <c r="G47">
        <v>46</v>
      </c>
    </row>
    <row r="48" spans="6:7" x14ac:dyDescent="0.25">
      <c r="F48">
        <v>0.47</v>
      </c>
      <c r="G48">
        <v>47</v>
      </c>
    </row>
    <row r="49" spans="6:7" x14ac:dyDescent="0.25">
      <c r="F49">
        <v>0.48</v>
      </c>
      <c r="G49">
        <v>48</v>
      </c>
    </row>
    <row r="50" spans="6:7" x14ac:dyDescent="0.25">
      <c r="F50">
        <v>0.49</v>
      </c>
      <c r="G50">
        <v>49</v>
      </c>
    </row>
    <row r="51" spans="6:7" x14ac:dyDescent="0.25">
      <c r="F51">
        <v>0.5</v>
      </c>
      <c r="G51">
        <v>50</v>
      </c>
    </row>
    <row r="52" spans="6:7" x14ac:dyDescent="0.25">
      <c r="F52">
        <v>0.51</v>
      </c>
      <c r="G52">
        <v>51</v>
      </c>
    </row>
    <row r="53" spans="6:7" x14ac:dyDescent="0.25">
      <c r="F53">
        <v>0.52</v>
      </c>
      <c r="G53">
        <v>52</v>
      </c>
    </row>
    <row r="54" spans="6:7" x14ac:dyDescent="0.25">
      <c r="F54">
        <v>0.53</v>
      </c>
      <c r="G54">
        <v>53</v>
      </c>
    </row>
    <row r="55" spans="6:7" x14ac:dyDescent="0.25">
      <c r="F55">
        <v>0.54</v>
      </c>
      <c r="G55">
        <v>54</v>
      </c>
    </row>
    <row r="56" spans="6:7" x14ac:dyDescent="0.25">
      <c r="F56">
        <v>0.55000000000000004</v>
      </c>
      <c r="G56">
        <v>55</v>
      </c>
    </row>
    <row r="57" spans="6:7" x14ac:dyDescent="0.25">
      <c r="F57">
        <v>0.56000000000000005</v>
      </c>
      <c r="G57">
        <v>56</v>
      </c>
    </row>
    <row r="58" spans="6:7" x14ac:dyDescent="0.25">
      <c r="F58">
        <v>0.56999999999999995</v>
      </c>
      <c r="G58">
        <v>57</v>
      </c>
    </row>
    <row r="59" spans="6:7" x14ac:dyDescent="0.25">
      <c r="F59">
        <v>0.57999999999999996</v>
      </c>
      <c r="G59">
        <v>58</v>
      </c>
    </row>
    <row r="60" spans="6:7" x14ac:dyDescent="0.25">
      <c r="F60">
        <v>0.59</v>
      </c>
      <c r="G60">
        <v>59</v>
      </c>
    </row>
    <row r="61" spans="6:7" x14ac:dyDescent="0.25">
      <c r="F61">
        <v>0.6</v>
      </c>
      <c r="G61">
        <v>60</v>
      </c>
    </row>
    <row r="62" spans="6:7" x14ac:dyDescent="0.25">
      <c r="F62">
        <v>0.61</v>
      </c>
      <c r="G62">
        <v>61</v>
      </c>
    </row>
    <row r="63" spans="6:7" x14ac:dyDescent="0.25">
      <c r="F63">
        <v>0.62</v>
      </c>
      <c r="G63">
        <v>62</v>
      </c>
    </row>
    <row r="64" spans="6:7" x14ac:dyDescent="0.25">
      <c r="F64">
        <v>0.63</v>
      </c>
      <c r="G64">
        <v>63</v>
      </c>
    </row>
    <row r="65" spans="6:7" x14ac:dyDescent="0.25">
      <c r="F65">
        <v>0.64</v>
      </c>
      <c r="G65">
        <v>64</v>
      </c>
    </row>
    <row r="66" spans="6:7" x14ac:dyDescent="0.25">
      <c r="F66">
        <v>0.65</v>
      </c>
      <c r="G66">
        <v>65</v>
      </c>
    </row>
    <row r="67" spans="6:7" x14ac:dyDescent="0.25">
      <c r="F67">
        <v>0.66</v>
      </c>
      <c r="G67">
        <v>66</v>
      </c>
    </row>
    <row r="68" spans="6:7" x14ac:dyDescent="0.25">
      <c r="F68">
        <v>0.67</v>
      </c>
      <c r="G68">
        <v>67</v>
      </c>
    </row>
    <row r="69" spans="6:7" x14ac:dyDescent="0.25">
      <c r="F69">
        <v>0.68</v>
      </c>
      <c r="G69">
        <v>68</v>
      </c>
    </row>
    <row r="70" spans="6:7" x14ac:dyDescent="0.25">
      <c r="F70">
        <v>0.69</v>
      </c>
      <c r="G70">
        <v>69</v>
      </c>
    </row>
    <row r="71" spans="6:7" x14ac:dyDescent="0.25">
      <c r="F71">
        <v>0.7</v>
      </c>
      <c r="G71">
        <v>70</v>
      </c>
    </row>
    <row r="72" spans="6:7" x14ac:dyDescent="0.25">
      <c r="F72">
        <v>0.71</v>
      </c>
      <c r="G72">
        <v>71</v>
      </c>
    </row>
    <row r="73" spans="6:7" x14ac:dyDescent="0.25">
      <c r="F73">
        <v>0.72</v>
      </c>
      <c r="G73">
        <v>72</v>
      </c>
    </row>
    <row r="74" spans="6:7" x14ac:dyDescent="0.25">
      <c r="F74">
        <v>0.73</v>
      </c>
      <c r="G74">
        <v>73</v>
      </c>
    </row>
    <row r="75" spans="6:7" x14ac:dyDescent="0.25">
      <c r="F75">
        <v>0.74</v>
      </c>
      <c r="G75">
        <v>74</v>
      </c>
    </row>
    <row r="76" spans="6:7" x14ac:dyDescent="0.25">
      <c r="F76">
        <v>0.75</v>
      </c>
      <c r="G76">
        <v>75</v>
      </c>
    </row>
    <row r="77" spans="6:7" x14ac:dyDescent="0.25">
      <c r="F77">
        <v>0.76</v>
      </c>
      <c r="G77">
        <v>76</v>
      </c>
    </row>
    <row r="78" spans="6:7" x14ac:dyDescent="0.25">
      <c r="F78">
        <v>0.77</v>
      </c>
      <c r="G78">
        <v>77</v>
      </c>
    </row>
    <row r="79" spans="6:7" x14ac:dyDescent="0.25">
      <c r="F79">
        <v>0.78</v>
      </c>
      <c r="G79">
        <v>78</v>
      </c>
    </row>
    <row r="80" spans="6:7" x14ac:dyDescent="0.25">
      <c r="F80">
        <v>0.79</v>
      </c>
      <c r="G80">
        <v>79</v>
      </c>
    </row>
    <row r="81" spans="6:7" x14ac:dyDescent="0.25">
      <c r="F81">
        <v>0.8</v>
      </c>
      <c r="G81">
        <v>80</v>
      </c>
    </row>
    <row r="82" spans="6:7" x14ac:dyDescent="0.25">
      <c r="F82">
        <v>0.81</v>
      </c>
      <c r="G82">
        <v>81</v>
      </c>
    </row>
    <row r="83" spans="6:7" x14ac:dyDescent="0.25">
      <c r="F83">
        <v>0.82</v>
      </c>
      <c r="G83">
        <v>82</v>
      </c>
    </row>
    <row r="84" spans="6:7" x14ac:dyDescent="0.25">
      <c r="F84">
        <v>0.83</v>
      </c>
      <c r="G84">
        <v>83</v>
      </c>
    </row>
    <row r="85" spans="6:7" x14ac:dyDescent="0.25">
      <c r="F85">
        <v>0.84</v>
      </c>
      <c r="G85">
        <v>84</v>
      </c>
    </row>
    <row r="86" spans="6:7" x14ac:dyDescent="0.25">
      <c r="F86">
        <v>0.85</v>
      </c>
      <c r="G86">
        <v>85</v>
      </c>
    </row>
    <row r="87" spans="6:7" x14ac:dyDescent="0.25">
      <c r="F87">
        <v>0.86</v>
      </c>
      <c r="G87">
        <v>86</v>
      </c>
    </row>
    <row r="88" spans="6:7" x14ac:dyDescent="0.25">
      <c r="F88">
        <v>0.87</v>
      </c>
      <c r="G88">
        <v>87</v>
      </c>
    </row>
    <row r="89" spans="6:7" x14ac:dyDescent="0.25">
      <c r="F89">
        <v>0.88</v>
      </c>
      <c r="G89">
        <v>88</v>
      </c>
    </row>
    <row r="90" spans="6:7" x14ac:dyDescent="0.25">
      <c r="F90">
        <v>0.89</v>
      </c>
      <c r="G90">
        <v>89</v>
      </c>
    </row>
    <row r="91" spans="6:7" x14ac:dyDescent="0.25">
      <c r="F91">
        <v>0.9</v>
      </c>
      <c r="G91">
        <v>90</v>
      </c>
    </row>
    <row r="92" spans="6:7" x14ac:dyDescent="0.25">
      <c r="F92">
        <v>0.91</v>
      </c>
      <c r="G92">
        <v>91</v>
      </c>
    </row>
    <row r="93" spans="6:7" x14ac:dyDescent="0.25">
      <c r="F93">
        <v>0.92</v>
      </c>
      <c r="G93">
        <v>92</v>
      </c>
    </row>
    <row r="94" spans="6:7" x14ac:dyDescent="0.25">
      <c r="F94">
        <v>0.93</v>
      </c>
      <c r="G94">
        <v>93</v>
      </c>
    </row>
    <row r="95" spans="6:7" x14ac:dyDescent="0.25">
      <c r="F95">
        <v>0.94</v>
      </c>
      <c r="G95">
        <v>94</v>
      </c>
    </row>
    <row r="96" spans="6:7" x14ac:dyDescent="0.25">
      <c r="F96">
        <v>0.95</v>
      </c>
    </row>
    <row r="97" spans="6:6" x14ac:dyDescent="0.25">
      <c r="F97">
        <v>0.96</v>
      </c>
    </row>
    <row r="98" spans="6:6" x14ac:dyDescent="0.25">
      <c r="F98">
        <v>0.97</v>
      </c>
    </row>
    <row r="99" spans="6:6" x14ac:dyDescent="0.25">
      <c r="F99">
        <v>0.98</v>
      </c>
    </row>
    <row r="100" spans="6:6" x14ac:dyDescent="0.25">
      <c r="F100">
        <v>0.99</v>
      </c>
    </row>
    <row r="101" spans="6:6" x14ac:dyDescent="0.25">
      <c r="F101">
        <v>1</v>
      </c>
    </row>
    <row r="102" spans="6:6" x14ac:dyDescent="0.25">
      <c r="F102">
        <v>1.01</v>
      </c>
    </row>
    <row r="103" spans="6:6" x14ac:dyDescent="0.25">
      <c r="F103">
        <v>1.02</v>
      </c>
    </row>
    <row r="104" spans="6:6" x14ac:dyDescent="0.25">
      <c r="F104">
        <v>1.03</v>
      </c>
    </row>
    <row r="105" spans="6:6" x14ac:dyDescent="0.25">
      <c r="F105">
        <v>1.04</v>
      </c>
    </row>
    <row r="106" spans="6:6" x14ac:dyDescent="0.25">
      <c r="F106">
        <v>1.05</v>
      </c>
    </row>
    <row r="107" spans="6:6" x14ac:dyDescent="0.25">
      <c r="F107">
        <v>1.06</v>
      </c>
    </row>
    <row r="108" spans="6:6" x14ac:dyDescent="0.25">
      <c r="F108">
        <v>1.07</v>
      </c>
    </row>
    <row r="109" spans="6:6" x14ac:dyDescent="0.25">
      <c r="F109">
        <v>1.08</v>
      </c>
    </row>
    <row r="110" spans="6:6" x14ac:dyDescent="0.25">
      <c r="F110">
        <v>1.0900000000000001</v>
      </c>
    </row>
    <row r="111" spans="6:6" x14ac:dyDescent="0.25">
      <c r="F111">
        <v>1.1000000000000001</v>
      </c>
    </row>
    <row r="112" spans="6:6" x14ac:dyDescent="0.25">
      <c r="F112">
        <v>1.1100000000000001</v>
      </c>
    </row>
    <row r="113" spans="6:6" x14ac:dyDescent="0.25">
      <c r="F113">
        <v>1.1200000000000001</v>
      </c>
    </row>
    <row r="114" spans="6:6" x14ac:dyDescent="0.25">
      <c r="F114">
        <v>1.1299999999999999</v>
      </c>
    </row>
    <row r="115" spans="6:6" x14ac:dyDescent="0.25">
      <c r="F115">
        <v>1.1399999999999999</v>
      </c>
    </row>
    <row r="116" spans="6:6" x14ac:dyDescent="0.25">
      <c r="F116">
        <v>1.1499999999999999</v>
      </c>
    </row>
    <row r="117" spans="6:6" x14ac:dyDescent="0.25">
      <c r="F117">
        <v>1.1599999999999999</v>
      </c>
    </row>
    <row r="118" spans="6:6" x14ac:dyDescent="0.25">
      <c r="F118">
        <v>1.17</v>
      </c>
    </row>
    <row r="119" spans="6:6" x14ac:dyDescent="0.25">
      <c r="F119">
        <v>1.18</v>
      </c>
    </row>
    <row r="120" spans="6:6" x14ac:dyDescent="0.25">
      <c r="F120">
        <v>1.19</v>
      </c>
    </row>
    <row r="121" spans="6:6" x14ac:dyDescent="0.25">
      <c r="F121">
        <v>1.2</v>
      </c>
    </row>
    <row r="122" spans="6:6" x14ac:dyDescent="0.25">
      <c r="F122">
        <v>1.21</v>
      </c>
    </row>
    <row r="123" spans="6:6" x14ac:dyDescent="0.25">
      <c r="F123">
        <v>1.22</v>
      </c>
    </row>
    <row r="124" spans="6:6" x14ac:dyDescent="0.25">
      <c r="F124">
        <v>1.23</v>
      </c>
    </row>
    <row r="125" spans="6:6" x14ac:dyDescent="0.25">
      <c r="F125">
        <v>1.24</v>
      </c>
    </row>
    <row r="126" spans="6:6" x14ac:dyDescent="0.25">
      <c r="F126">
        <v>1.25</v>
      </c>
    </row>
    <row r="127" spans="6:6" x14ac:dyDescent="0.25">
      <c r="F127">
        <v>1.26</v>
      </c>
    </row>
    <row r="128" spans="6:6" x14ac:dyDescent="0.25">
      <c r="F128">
        <v>1.27</v>
      </c>
    </row>
    <row r="129" spans="6:6" x14ac:dyDescent="0.25">
      <c r="F129">
        <v>1.28</v>
      </c>
    </row>
    <row r="130" spans="6:6" x14ac:dyDescent="0.25">
      <c r="F130">
        <v>1.29</v>
      </c>
    </row>
    <row r="131" spans="6:6" x14ac:dyDescent="0.25">
      <c r="F131">
        <v>1.3</v>
      </c>
    </row>
    <row r="132" spans="6:6" x14ac:dyDescent="0.25">
      <c r="F132">
        <v>1.31</v>
      </c>
    </row>
    <row r="133" spans="6:6" x14ac:dyDescent="0.25">
      <c r="F133">
        <v>1.32</v>
      </c>
    </row>
    <row r="134" spans="6:6" x14ac:dyDescent="0.25">
      <c r="F134">
        <v>1.33</v>
      </c>
    </row>
    <row r="135" spans="6:6" x14ac:dyDescent="0.25">
      <c r="F135">
        <v>1.34</v>
      </c>
    </row>
    <row r="136" spans="6:6" x14ac:dyDescent="0.25">
      <c r="F136">
        <v>1.35</v>
      </c>
    </row>
    <row r="137" spans="6:6" x14ac:dyDescent="0.25">
      <c r="F137">
        <v>1.36</v>
      </c>
    </row>
    <row r="138" spans="6:6" x14ac:dyDescent="0.25">
      <c r="F138">
        <v>1.37</v>
      </c>
    </row>
    <row r="139" spans="6:6" x14ac:dyDescent="0.25">
      <c r="F139">
        <v>1.38</v>
      </c>
    </row>
    <row r="140" spans="6:6" x14ac:dyDescent="0.25">
      <c r="F140">
        <v>1.39</v>
      </c>
    </row>
    <row r="141" spans="6:6" x14ac:dyDescent="0.25">
      <c r="F141">
        <v>1.4</v>
      </c>
    </row>
    <row r="142" spans="6:6" x14ac:dyDescent="0.25">
      <c r="F142">
        <v>1.41</v>
      </c>
    </row>
    <row r="143" spans="6:6" x14ac:dyDescent="0.25">
      <c r="F143">
        <v>1.42</v>
      </c>
    </row>
    <row r="144" spans="6:6" x14ac:dyDescent="0.25">
      <c r="F144">
        <v>1.43</v>
      </c>
    </row>
    <row r="145" spans="6:6" x14ac:dyDescent="0.25">
      <c r="F145">
        <v>1.44</v>
      </c>
    </row>
    <row r="146" spans="6:6" x14ac:dyDescent="0.25">
      <c r="F146">
        <v>1.45</v>
      </c>
    </row>
    <row r="147" spans="6:6" x14ac:dyDescent="0.25">
      <c r="F147">
        <v>1.46</v>
      </c>
    </row>
    <row r="148" spans="6:6" x14ac:dyDescent="0.25">
      <c r="F148">
        <v>1.47</v>
      </c>
    </row>
    <row r="149" spans="6:6" x14ac:dyDescent="0.25">
      <c r="F149">
        <v>1.48</v>
      </c>
    </row>
    <row r="150" spans="6:6" x14ac:dyDescent="0.25">
      <c r="F150">
        <v>1.49</v>
      </c>
    </row>
    <row r="151" spans="6:6" x14ac:dyDescent="0.25">
      <c r="F151">
        <v>1.5</v>
      </c>
    </row>
    <row r="152" spans="6:6" x14ac:dyDescent="0.25">
      <c r="F152">
        <v>1.51</v>
      </c>
    </row>
    <row r="153" spans="6:6" x14ac:dyDescent="0.25">
      <c r="F153">
        <v>1.52</v>
      </c>
    </row>
    <row r="154" spans="6:6" x14ac:dyDescent="0.25">
      <c r="F154">
        <v>1.53</v>
      </c>
    </row>
    <row r="155" spans="6:6" x14ac:dyDescent="0.25">
      <c r="F155">
        <v>1.54</v>
      </c>
    </row>
    <row r="156" spans="6:6" x14ac:dyDescent="0.25">
      <c r="F156">
        <v>1.55</v>
      </c>
    </row>
    <row r="157" spans="6:6" x14ac:dyDescent="0.25">
      <c r="F157">
        <v>1.56</v>
      </c>
    </row>
    <row r="158" spans="6:6" x14ac:dyDescent="0.25">
      <c r="F158">
        <v>1.57</v>
      </c>
    </row>
    <row r="159" spans="6:6" x14ac:dyDescent="0.25">
      <c r="F159">
        <v>1.58</v>
      </c>
    </row>
    <row r="160" spans="6:6" x14ac:dyDescent="0.25">
      <c r="F160">
        <v>1.59</v>
      </c>
    </row>
    <row r="161" spans="6:6" x14ac:dyDescent="0.25">
      <c r="F161">
        <v>1.6</v>
      </c>
    </row>
    <row r="162" spans="6:6" x14ac:dyDescent="0.25">
      <c r="F162">
        <v>1.61</v>
      </c>
    </row>
    <row r="163" spans="6:6" x14ac:dyDescent="0.25">
      <c r="F163">
        <v>1.62</v>
      </c>
    </row>
    <row r="164" spans="6:6" x14ac:dyDescent="0.25">
      <c r="F164">
        <v>1.63</v>
      </c>
    </row>
    <row r="165" spans="6:6" x14ac:dyDescent="0.25">
      <c r="F165">
        <v>1.64</v>
      </c>
    </row>
    <row r="166" spans="6:6" x14ac:dyDescent="0.25">
      <c r="F166">
        <v>1.65</v>
      </c>
    </row>
    <row r="167" spans="6:6" x14ac:dyDescent="0.25">
      <c r="F167">
        <v>1.66</v>
      </c>
    </row>
    <row r="168" spans="6:6" x14ac:dyDescent="0.25">
      <c r="F168">
        <v>1.67</v>
      </c>
    </row>
    <row r="169" spans="6:6" x14ac:dyDescent="0.25">
      <c r="F169">
        <v>1.68</v>
      </c>
    </row>
    <row r="170" spans="6:6" x14ac:dyDescent="0.25">
      <c r="F170">
        <v>1.69</v>
      </c>
    </row>
    <row r="171" spans="6:6" x14ac:dyDescent="0.25">
      <c r="F171">
        <v>1.7</v>
      </c>
    </row>
    <row r="172" spans="6:6" x14ac:dyDescent="0.25">
      <c r="F172">
        <v>1.71</v>
      </c>
    </row>
    <row r="173" spans="6:6" x14ac:dyDescent="0.25">
      <c r="F173">
        <v>1.72</v>
      </c>
    </row>
    <row r="174" spans="6:6" x14ac:dyDescent="0.25">
      <c r="F174">
        <v>1.73</v>
      </c>
    </row>
    <row r="175" spans="6:6" x14ac:dyDescent="0.25">
      <c r="F175">
        <v>1.74</v>
      </c>
    </row>
    <row r="176" spans="6:6" x14ac:dyDescent="0.25">
      <c r="F176">
        <v>1.75</v>
      </c>
    </row>
    <row r="177" spans="6:6" x14ac:dyDescent="0.25">
      <c r="F177">
        <v>1.76</v>
      </c>
    </row>
    <row r="178" spans="6:6" x14ac:dyDescent="0.25">
      <c r="F178">
        <v>1.77</v>
      </c>
    </row>
    <row r="179" spans="6:6" x14ac:dyDescent="0.25">
      <c r="F179">
        <v>1.78</v>
      </c>
    </row>
    <row r="180" spans="6:6" x14ac:dyDescent="0.25">
      <c r="F180">
        <v>1.79</v>
      </c>
    </row>
    <row r="181" spans="6:6" x14ac:dyDescent="0.25">
      <c r="F181">
        <v>1.8</v>
      </c>
    </row>
    <row r="182" spans="6:6" x14ac:dyDescent="0.25">
      <c r="F182">
        <v>1.81</v>
      </c>
    </row>
    <row r="183" spans="6:6" x14ac:dyDescent="0.25">
      <c r="F183">
        <v>1.82</v>
      </c>
    </row>
    <row r="184" spans="6:6" x14ac:dyDescent="0.25">
      <c r="F184">
        <v>1.83</v>
      </c>
    </row>
    <row r="185" spans="6:6" x14ac:dyDescent="0.25">
      <c r="F185">
        <v>1.84</v>
      </c>
    </row>
    <row r="186" spans="6:6" x14ac:dyDescent="0.25">
      <c r="F186">
        <v>1.85</v>
      </c>
    </row>
    <row r="187" spans="6:6" x14ac:dyDescent="0.25">
      <c r="F187">
        <v>1.86</v>
      </c>
    </row>
    <row r="188" spans="6:6" x14ac:dyDescent="0.25">
      <c r="F188">
        <v>1.87</v>
      </c>
    </row>
    <row r="189" spans="6:6" x14ac:dyDescent="0.25">
      <c r="F189">
        <v>1.88</v>
      </c>
    </row>
    <row r="190" spans="6:6" x14ac:dyDescent="0.25">
      <c r="F190">
        <v>1.89</v>
      </c>
    </row>
    <row r="191" spans="6:6" x14ac:dyDescent="0.25">
      <c r="F191">
        <v>1.9</v>
      </c>
    </row>
    <row r="192" spans="6:6" x14ac:dyDescent="0.25">
      <c r="F192">
        <v>1.91</v>
      </c>
    </row>
    <row r="193" spans="6:6" x14ac:dyDescent="0.25">
      <c r="F193">
        <v>1.92</v>
      </c>
    </row>
    <row r="194" spans="6:6" x14ac:dyDescent="0.25">
      <c r="F194">
        <v>1.93</v>
      </c>
    </row>
    <row r="195" spans="6:6" x14ac:dyDescent="0.25">
      <c r="F195">
        <v>1.94</v>
      </c>
    </row>
    <row r="196" spans="6:6" x14ac:dyDescent="0.25">
      <c r="F196">
        <v>1.95</v>
      </c>
    </row>
    <row r="197" spans="6:6" x14ac:dyDescent="0.25">
      <c r="F197">
        <v>1.96</v>
      </c>
    </row>
    <row r="198" spans="6:6" x14ac:dyDescent="0.25">
      <c r="F198">
        <v>1.97</v>
      </c>
    </row>
    <row r="199" spans="6:6" x14ac:dyDescent="0.25">
      <c r="F199">
        <v>1.98</v>
      </c>
    </row>
    <row r="200" spans="6:6" x14ac:dyDescent="0.25">
      <c r="F200">
        <v>1.99</v>
      </c>
    </row>
    <row r="201" spans="6:6" x14ac:dyDescent="0.25">
      <c r="F201">
        <v>2</v>
      </c>
    </row>
    <row r="202" spans="6:6" x14ac:dyDescent="0.25">
      <c r="F202">
        <v>2.0099999999999998</v>
      </c>
    </row>
    <row r="203" spans="6:6" x14ac:dyDescent="0.25">
      <c r="F203">
        <v>2.02</v>
      </c>
    </row>
    <row r="204" spans="6:6" x14ac:dyDescent="0.25">
      <c r="F204">
        <v>2.0299999999999998</v>
      </c>
    </row>
    <row r="205" spans="6:6" x14ac:dyDescent="0.25">
      <c r="F205">
        <v>2.04</v>
      </c>
    </row>
    <row r="206" spans="6:6" x14ac:dyDescent="0.25">
      <c r="F206">
        <v>2.0499999999999998</v>
      </c>
    </row>
    <row r="207" spans="6:6" x14ac:dyDescent="0.25">
      <c r="F207">
        <v>2.06</v>
      </c>
    </row>
    <row r="208" spans="6:6" x14ac:dyDescent="0.25">
      <c r="F208">
        <v>2.0699999999999998</v>
      </c>
    </row>
    <row r="209" spans="6:6" x14ac:dyDescent="0.25">
      <c r="F209">
        <v>2.08</v>
      </c>
    </row>
    <row r="210" spans="6:6" x14ac:dyDescent="0.25">
      <c r="F210">
        <v>2.09</v>
      </c>
    </row>
    <row r="211" spans="6:6" x14ac:dyDescent="0.25">
      <c r="F211">
        <v>2.1</v>
      </c>
    </row>
    <row r="212" spans="6:6" x14ac:dyDescent="0.25">
      <c r="F212">
        <v>2.11</v>
      </c>
    </row>
    <row r="213" spans="6:6" x14ac:dyDescent="0.25">
      <c r="F213">
        <v>2.12</v>
      </c>
    </row>
    <row r="214" spans="6:6" x14ac:dyDescent="0.25">
      <c r="F214">
        <v>2.13</v>
      </c>
    </row>
    <row r="215" spans="6:6" x14ac:dyDescent="0.25">
      <c r="F215">
        <v>2.14</v>
      </c>
    </row>
    <row r="216" spans="6:6" x14ac:dyDescent="0.25">
      <c r="F216">
        <v>2.15</v>
      </c>
    </row>
    <row r="217" spans="6:6" x14ac:dyDescent="0.25">
      <c r="F217">
        <v>2.16</v>
      </c>
    </row>
    <row r="218" spans="6:6" x14ac:dyDescent="0.25">
      <c r="F218">
        <v>2.17</v>
      </c>
    </row>
    <row r="219" spans="6:6" x14ac:dyDescent="0.25">
      <c r="F219">
        <v>2.1800000000000002</v>
      </c>
    </row>
    <row r="220" spans="6:6" x14ac:dyDescent="0.25">
      <c r="F220">
        <v>2.19</v>
      </c>
    </row>
    <row r="221" spans="6:6" x14ac:dyDescent="0.25">
      <c r="F221">
        <v>2.2000000000000002</v>
      </c>
    </row>
    <row r="222" spans="6:6" x14ac:dyDescent="0.25">
      <c r="F222">
        <v>2.21</v>
      </c>
    </row>
    <row r="223" spans="6:6" x14ac:dyDescent="0.25">
      <c r="F223">
        <v>2.2200000000000002</v>
      </c>
    </row>
    <row r="224" spans="6:6" x14ac:dyDescent="0.25">
      <c r="F224">
        <v>2.23</v>
      </c>
    </row>
    <row r="225" spans="6:6" x14ac:dyDescent="0.25">
      <c r="F225">
        <v>2.2400000000000002</v>
      </c>
    </row>
    <row r="226" spans="6:6" x14ac:dyDescent="0.25">
      <c r="F226">
        <v>2.25</v>
      </c>
    </row>
    <row r="227" spans="6:6" x14ac:dyDescent="0.25">
      <c r="F227">
        <v>2.2599999999999998</v>
      </c>
    </row>
    <row r="228" spans="6:6" x14ac:dyDescent="0.25">
      <c r="F228">
        <v>2.27</v>
      </c>
    </row>
    <row r="229" spans="6:6" x14ac:dyDescent="0.25">
      <c r="F229">
        <v>2.2799999999999998</v>
      </c>
    </row>
    <row r="230" spans="6:6" x14ac:dyDescent="0.25">
      <c r="F230">
        <v>2.29</v>
      </c>
    </row>
    <row r="231" spans="6:6" x14ac:dyDescent="0.25">
      <c r="F231">
        <v>2.2999999999999998</v>
      </c>
    </row>
    <row r="232" spans="6:6" x14ac:dyDescent="0.25">
      <c r="F232">
        <v>2.31</v>
      </c>
    </row>
    <row r="233" spans="6:6" x14ac:dyDescent="0.25">
      <c r="F233">
        <v>2.3199999999999998</v>
      </c>
    </row>
    <row r="234" spans="6:6" x14ac:dyDescent="0.25">
      <c r="F234">
        <v>2.33</v>
      </c>
    </row>
    <row r="235" spans="6:6" x14ac:dyDescent="0.25">
      <c r="F235">
        <v>2.34</v>
      </c>
    </row>
    <row r="236" spans="6:6" x14ac:dyDescent="0.25">
      <c r="F236">
        <v>2.35</v>
      </c>
    </row>
    <row r="237" spans="6:6" x14ac:dyDescent="0.25">
      <c r="F237">
        <v>2.36</v>
      </c>
    </row>
    <row r="238" spans="6:6" x14ac:dyDescent="0.25">
      <c r="F238">
        <v>2.37</v>
      </c>
    </row>
    <row r="239" spans="6:6" x14ac:dyDescent="0.25">
      <c r="F239">
        <v>2.38</v>
      </c>
    </row>
    <row r="240" spans="6:6" x14ac:dyDescent="0.25">
      <c r="F240">
        <v>2.39</v>
      </c>
    </row>
    <row r="241" spans="6:6" x14ac:dyDescent="0.25">
      <c r="F241">
        <v>2.4</v>
      </c>
    </row>
    <row r="242" spans="6:6" x14ac:dyDescent="0.25">
      <c r="F242">
        <v>2.41</v>
      </c>
    </row>
    <row r="243" spans="6:6" x14ac:dyDescent="0.25">
      <c r="F243">
        <v>2.42</v>
      </c>
    </row>
    <row r="244" spans="6:6" x14ac:dyDescent="0.25">
      <c r="F244">
        <v>2.4300000000000002</v>
      </c>
    </row>
    <row r="245" spans="6:6" x14ac:dyDescent="0.25">
      <c r="F245">
        <v>2.44</v>
      </c>
    </row>
    <row r="246" spans="6:6" x14ac:dyDescent="0.25">
      <c r="F246">
        <v>2.4500000000000002</v>
      </c>
    </row>
    <row r="247" spans="6:6" x14ac:dyDescent="0.25">
      <c r="F247">
        <v>2.46</v>
      </c>
    </row>
    <row r="248" spans="6:6" x14ac:dyDescent="0.25">
      <c r="F248">
        <v>2.4700000000000002</v>
      </c>
    </row>
    <row r="249" spans="6:6" x14ac:dyDescent="0.25">
      <c r="F249">
        <v>2.48</v>
      </c>
    </row>
    <row r="250" spans="6:6" x14ac:dyDescent="0.25">
      <c r="F250">
        <v>2.4900000000000002</v>
      </c>
    </row>
    <row r="251" spans="6:6" x14ac:dyDescent="0.25">
      <c r="F251">
        <v>2.5</v>
      </c>
    </row>
    <row r="252" spans="6:6" x14ac:dyDescent="0.25">
      <c r="F252">
        <v>2.5099999999999998</v>
      </c>
    </row>
    <row r="253" spans="6:6" x14ac:dyDescent="0.25">
      <c r="F253">
        <v>2.52</v>
      </c>
    </row>
    <row r="254" spans="6:6" x14ac:dyDescent="0.25">
      <c r="F254">
        <v>2.5299999999999998</v>
      </c>
    </row>
    <row r="255" spans="6:6" x14ac:dyDescent="0.25">
      <c r="F255">
        <v>2.54</v>
      </c>
    </row>
    <row r="256" spans="6:6" x14ac:dyDescent="0.25">
      <c r="F256">
        <v>2.5499999999999998</v>
      </c>
    </row>
    <row r="257" spans="6:6" x14ac:dyDescent="0.25">
      <c r="F257">
        <v>2.56</v>
      </c>
    </row>
    <row r="258" spans="6:6" x14ac:dyDescent="0.25">
      <c r="F258">
        <v>2.57</v>
      </c>
    </row>
    <row r="259" spans="6:6" x14ac:dyDescent="0.25">
      <c r="F259">
        <v>2.58</v>
      </c>
    </row>
    <row r="260" spans="6:6" x14ac:dyDescent="0.25">
      <c r="F260">
        <v>2.59</v>
      </c>
    </row>
    <row r="261" spans="6:6" x14ac:dyDescent="0.25">
      <c r="F261">
        <v>2.6</v>
      </c>
    </row>
    <row r="262" spans="6:6" x14ac:dyDescent="0.25">
      <c r="F262">
        <v>2.61</v>
      </c>
    </row>
    <row r="263" spans="6:6" x14ac:dyDescent="0.25">
      <c r="F263">
        <v>2.62</v>
      </c>
    </row>
    <row r="264" spans="6:6" x14ac:dyDescent="0.25">
      <c r="F264">
        <v>2.63</v>
      </c>
    </row>
    <row r="265" spans="6:6" x14ac:dyDescent="0.25">
      <c r="F265">
        <v>2.64</v>
      </c>
    </row>
    <row r="266" spans="6:6" x14ac:dyDescent="0.25">
      <c r="F266">
        <v>2.65</v>
      </c>
    </row>
    <row r="267" spans="6:6" x14ac:dyDescent="0.25">
      <c r="F267">
        <v>2.66</v>
      </c>
    </row>
    <row r="268" spans="6:6" x14ac:dyDescent="0.25">
      <c r="F268">
        <v>2.67</v>
      </c>
    </row>
    <row r="269" spans="6:6" x14ac:dyDescent="0.25">
      <c r="F269">
        <v>2.68</v>
      </c>
    </row>
    <row r="270" spans="6:6" x14ac:dyDescent="0.25">
      <c r="F270">
        <v>2.69</v>
      </c>
    </row>
    <row r="271" spans="6:6" x14ac:dyDescent="0.25">
      <c r="F271">
        <v>2.7</v>
      </c>
    </row>
    <row r="272" spans="6:6" x14ac:dyDescent="0.25">
      <c r="F272">
        <v>2.71</v>
      </c>
    </row>
    <row r="273" spans="6:6" x14ac:dyDescent="0.25">
      <c r="F273">
        <v>2.72</v>
      </c>
    </row>
    <row r="274" spans="6:6" x14ac:dyDescent="0.25">
      <c r="F274">
        <v>2.73</v>
      </c>
    </row>
    <row r="275" spans="6:6" x14ac:dyDescent="0.25">
      <c r="F275">
        <v>2.74</v>
      </c>
    </row>
    <row r="276" spans="6:6" x14ac:dyDescent="0.25">
      <c r="F276">
        <v>2.75</v>
      </c>
    </row>
    <row r="277" spans="6:6" x14ac:dyDescent="0.25">
      <c r="F277">
        <v>2.76</v>
      </c>
    </row>
    <row r="278" spans="6:6" x14ac:dyDescent="0.25">
      <c r="F278">
        <v>2.77</v>
      </c>
    </row>
    <row r="279" spans="6:6" x14ac:dyDescent="0.25">
      <c r="F279">
        <v>2.78</v>
      </c>
    </row>
    <row r="280" spans="6:6" x14ac:dyDescent="0.25">
      <c r="F280">
        <v>2.79</v>
      </c>
    </row>
    <row r="281" spans="6:6" x14ac:dyDescent="0.25">
      <c r="F281">
        <v>2.8</v>
      </c>
    </row>
    <row r="282" spans="6:6" x14ac:dyDescent="0.25">
      <c r="F282">
        <v>2.81</v>
      </c>
    </row>
    <row r="283" spans="6:6" x14ac:dyDescent="0.25">
      <c r="F283">
        <v>2.82</v>
      </c>
    </row>
    <row r="284" spans="6:6" x14ac:dyDescent="0.25">
      <c r="F284">
        <v>2.83</v>
      </c>
    </row>
    <row r="285" spans="6:6" x14ac:dyDescent="0.25">
      <c r="F285">
        <v>2.84</v>
      </c>
    </row>
    <row r="286" spans="6:6" x14ac:dyDescent="0.25">
      <c r="F286">
        <v>2.85</v>
      </c>
    </row>
    <row r="287" spans="6:6" x14ac:dyDescent="0.25">
      <c r="F287">
        <v>2.86</v>
      </c>
    </row>
    <row r="288" spans="6:6" x14ac:dyDescent="0.25">
      <c r="F288">
        <v>2.87</v>
      </c>
    </row>
    <row r="289" spans="6:6" x14ac:dyDescent="0.25">
      <c r="F289">
        <v>2.88</v>
      </c>
    </row>
    <row r="290" spans="6:6" x14ac:dyDescent="0.25">
      <c r="F290">
        <v>2.89</v>
      </c>
    </row>
    <row r="291" spans="6:6" x14ac:dyDescent="0.25">
      <c r="F291">
        <v>2.9</v>
      </c>
    </row>
    <row r="292" spans="6:6" x14ac:dyDescent="0.25">
      <c r="F292">
        <v>2.91</v>
      </c>
    </row>
    <row r="293" spans="6:6" x14ac:dyDescent="0.25">
      <c r="F293">
        <v>2.92</v>
      </c>
    </row>
    <row r="294" spans="6:6" x14ac:dyDescent="0.25">
      <c r="F294">
        <v>2.93</v>
      </c>
    </row>
    <row r="295" spans="6:6" x14ac:dyDescent="0.25">
      <c r="F295">
        <v>2.94</v>
      </c>
    </row>
    <row r="296" spans="6:6" x14ac:dyDescent="0.25">
      <c r="F296">
        <v>2.95</v>
      </c>
    </row>
    <row r="297" spans="6:6" x14ac:dyDescent="0.25">
      <c r="F297">
        <v>2.96</v>
      </c>
    </row>
    <row r="298" spans="6:6" x14ac:dyDescent="0.25">
      <c r="F298">
        <v>2.97</v>
      </c>
    </row>
    <row r="299" spans="6:6" x14ac:dyDescent="0.25">
      <c r="F299">
        <v>2.98</v>
      </c>
    </row>
    <row r="300" spans="6:6" x14ac:dyDescent="0.25">
      <c r="F300">
        <v>2.99</v>
      </c>
    </row>
    <row r="301" spans="6:6" x14ac:dyDescent="0.25">
      <c r="F301">
        <v>3</v>
      </c>
    </row>
    <row r="302" spans="6:6" x14ac:dyDescent="0.25">
      <c r="F302">
        <v>3.01</v>
      </c>
    </row>
    <row r="303" spans="6:6" x14ac:dyDescent="0.25">
      <c r="F303">
        <v>3.02</v>
      </c>
    </row>
    <row r="304" spans="6:6" x14ac:dyDescent="0.25">
      <c r="F304">
        <v>3.03</v>
      </c>
    </row>
    <row r="305" spans="6:6" x14ac:dyDescent="0.25">
      <c r="F305">
        <v>3.04</v>
      </c>
    </row>
    <row r="306" spans="6:6" x14ac:dyDescent="0.25">
      <c r="F306">
        <v>3.05</v>
      </c>
    </row>
    <row r="307" spans="6:6" x14ac:dyDescent="0.25">
      <c r="F307">
        <v>3.06</v>
      </c>
    </row>
    <row r="308" spans="6:6" x14ac:dyDescent="0.25">
      <c r="F308">
        <v>3.07</v>
      </c>
    </row>
    <row r="309" spans="6:6" x14ac:dyDescent="0.25">
      <c r="F309">
        <v>3.08</v>
      </c>
    </row>
    <row r="310" spans="6:6" x14ac:dyDescent="0.25">
      <c r="F310">
        <v>3.09</v>
      </c>
    </row>
    <row r="311" spans="6:6" x14ac:dyDescent="0.25">
      <c r="F311">
        <v>3.1</v>
      </c>
    </row>
    <row r="312" spans="6:6" x14ac:dyDescent="0.25">
      <c r="F312">
        <v>3.11</v>
      </c>
    </row>
    <row r="313" spans="6:6" x14ac:dyDescent="0.25">
      <c r="F313">
        <v>3.12</v>
      </c>
    </row>
    <row r="314" spans="6:6" x14ac:dyDescent="0.25">
      <c r="F314">
        <v>3.13</v>
      </c>
    </row>
    <row r="315" spans="6:6" x14ac:dyDescent="0.25">
      <c r="F315">
        <v>3.14</v>
      </c>
    </row>
    <row r="316" spans="6:6" x14ac:dyDescent="0.25">
      <c r="F316">
        <v>3.15</v>
      </c>
    </row>
    <row r="317" spans="6:6" x14ac:dyDescent="0.25">
      <c r="F317">
        <v>3.16</v>
      </c>
    </row>
    <row r="318" spans="6:6" x14ac:dyDescent="0.25">
      <c r="F318">
        <v>3.17</v>
      </c>
    </row>
    <row r="319" spans="6:6" x14ac:dyDescent="0.25">
      <c r="F319">
        <v>3.18</v>
      </c>
    </row>
    <row r="320" spans="6:6" x14ac:dyDescent="0.25">
      <c r="F320">
        <v>3.19</v>
      </c>
    </row>
    <row r="321" spans="6:6" x14ac:dyDescent="0.25">
      <c r="F321">
        <v>3.2</v>
      </c>
    </row>
    <row r="322" spans="6:6" x14ac:dyDescent="0.25">
      <c r="F322">
        <v>3.21</v>
      </c>
    </row>
    <row r="323" spans="6:6" x14ac:dyDescent="0.25">
      <c r="F323">
        <v>3.22</v>
      </c>
    </row>
    <row r="324" spans="6:6" x14ac:dyDescent="0.25">
      <c r="F324">
        <v>3.23</v>
      </c>
    </row>
    <row r="325" spans="6:6" x14ac:dyDescent="0.25">
      <c r="F325">
        <v>3.24</v>
      </c>
    </row>
    <row r="326" spans="6:6" x14ac:dyDescent="0.25">
      <c r="F326">
        <v>3.25</v>
      </c>
    </row>
    <row r="327" spans="6:6" x14ac:dyDescent="0.25">
      <c r="F327">
        <v>3.26</v>
      </c>
    </row>
    <row r="328" spans="6:6" x14ac:dyDescent="0.25">
      <c r="F328">
        <v>3.27</v>
      </c>
    </row>
    <row r="329" spans="6:6" x14ac:dyDescent="0.25">
      <c r="F329">
        <v>3.28</v>
      </c>
    </row>
    <row r="330" spans="6:6" x14ac:dyDescent="0.25">
      <c r="F330">
        <v>3.29</v>
      </c>
    </row>
    <row r="331" spans="6:6" x14ac:dyDescent="0.25">
      <c r="F331">
        <v>3.3</v>
      </c>
    </row>
    <row r="332" spans="6:6" x14ac:dyDescent="0.25">
      <c r="F332">
        <v>3.31</v>
      </c>
    </row>
    <row r="333" spans="6:6" x14ac:dyDescent="0.25">
      <c r="F333">
        <v>3.32</v>
      </c>
    </row>
    <row r="334" spans="6:6" x14ac:dyDescent="0.25">
      <c r="F334">
        <v>3.33</v>
      </c>
    </row>
    <row r="335" spans="6:6" x14ac:dyDescent="0.25">
      <c r="F335">
        <v>3.34</v>
      </c>
    </row>
    <row r="336" spans="6:6" x14ac:dyDescent="0.25">
      <c r="F336">
        <v>3.35</v>
      </c>
    </row>
    <row r="337" spans="6:6" x14ac:dyDescent="0.25">
      <c r="F337">
        <v>3.36</v>
      </c>
    </row>
    <row r="338" spans="6:6" x14ac:dyDescent="0.25">
      <c r="F338">
        <v>3.37</v>
      </c>
    </row>
    <row r="339" spans="6:6" x14ac:dyDescent="0.25">
      <c r="F339">
        <v>3.38</v>
      </c>
    </row>
    <row r="340" spans="6:6" x14ac:dyDescent="0.25">
      <c r="F340">
        <v>3.39</v>
      </c>
    </row>
    <row r="341" spans="6:6" x14ac:dyDescent="0.25">
      <c r="F341">
        <v>3.4</v>
      </c>
    </row>
    <row r="342" spans="6:6" x14ac:dyDescent="0.25">
      <c r="F342">
        <v>3.41</v>
      </c>
    </row>
    <row r="343" spans="6:6" x14ac:dyDescent="0.25">
      <c r="F343">
        <v>3.42</v>
      </c>
    </row>
    <row r="344" spans="6:6" x14ac:dyDescent="0.25">
      <c r="F344">
        <v>3.43</v>
      </c>
    </row>
    <row r="345" spans="6:6" x14ac:dyDescent="0.25">
      <c r="F345">
        <v>3.44</v>
      </c>
    </row>
    <row r="346" spans="6:6" x14ac:dyDescent="0.25">
      <c r="F346">
        <v>3.45</v>
      </c>
    </row>
    <row r="347" spans="6:6" x14ac:dyDescent="0.25">
      <c r="F347">
        <v>3.46</v>
      </c>
    </row>
    <row r="348" spans="6:6" x14ac:dyDescent="0.25">
      <c r="F348">
        <v>3.47</v>
      </c>
    </row>
    <row r="349" spans="6:6" x14ac:dyDescent="0.25">
      <c r="F349">
        <v>3.48</v>
      </c>
    </row>
    <row r="350" spans="6:6" x14ac:dyDescent="0.25">
      <c r="F350">
        <v>3.49</v>
      </c>
    </row>
    <row r="351" spans="6:6" x14ac:dyDescent="0.25">
      <c r="F351">
        <v>3.5</v>
      </c>
    </row>
    <row r="352" spans="6:6" x14ac:dyDescent="0.25">
      <c r="F352">
        <v>3.51</v>
      </c>
    </row>
    <row r="353" spans="6:6" x14ac:dyDescent="0.25">
      <c r="F353">
        <v>3.52</v>
      </c>
    </row>
    <row r="354" spans="6:6" x14ac:dyDescent="0.25">
      <c r="F354">
        <v>3.53</v>
      </c>
    </row>
    <row r="355" spans="6:6" x14ac:dyDescent="0.25">
      <c r="F355">
        <v>3.54</v>
      </c>
    </row>
    <row r="356" spans="6:6" x14ac:dyDescent="0.25">
      <c r="F356">
        <v>3.55</v>
      </c>
    </row>
    <row r="357" spans="6:6" x14ac:dyDescent="0.25">
      <c r="F357">
        <v>3.56</v>
      </c>
    </row>
    <row r="358" spans="6:6" x14ac:dyDescent="0.25">
      <c r="F358">
        <v>3.57</v>
      </c>
    </row>
    <row r="359" spans="6:6" x14ac:dyDescent="0.25">
      <c r="F359">
        <v>3.58</v>
      </c>
    </row>
    <row r="360" spans="6:6" x14ac:dyDescent="0.25">
      <c r="F360">
        <v>3.59</v>
      </c>
    </row>
    <row r="361" spans="6:6" x14ac:dyDescent="0.25">
      <c r="F361">
        <v>3.6</v>
      </c>
    </row>
    <row r="362" spans="6:6" x14ac:dyDescent="0.25">
      <c r="F362">
        <v>3.61</v>
      </c>
    </row>
    <row r="363" spans="6:6" x14ac:dyDescent="0.25">
      <c r="F363">
        <v>3.62</v>
      </c>
    </row>
    <row r="364" spans="6:6" x14ac:dyDescent="0.25">
      <c r="F364">
        <v>3.63</v>
      </c>
    </row>
    <row r="365" spans="6:6" x14ac:dyDescent="0.25">
      <c r="F365">
        <v>3.64</v>
      </c>
    </row>
    <row r="366" spans="6:6" x14ac:dyDescent="0.25">
      <c r="F366">
        <v>3.65</v>
      </c>
    </row>
    <row r="367" spans="6:6" x14ac:dyDescent="0.25">
      <c r="F367">
        <v>3.66</v>
      </c>
    </row>
    <row r="368" spans="6:6" x14ac:dyDescent="0.25">
      <c r="F368">
        <v>3.67</v>
      </c>
    </row>
    <row r="369" spans="6:6" x14ac:dyDescent="0.25">
      <c r="F369">
        <v>3.68</v>
      </c>
    </row>
    <row r="370" spans="6:6" x14ac:dyDescent="0.25">
      <c r="F370">
        <v>3.69</v>
      </c>
    </row>
    <row r="371" spans="6:6" x14ac:dyDescent="0.25">
      <c r="F371">
        <v>3.7</v>
      </c>
    </row>
    <row r="372" spans="6:6" x14ac:dyDescent="0.25">
      <c r="F372">
        <v>3.71</v>
      </c>
    </row>
    <row r="373" spans="6:6" x14ac:dyDescent="0.25">
      <c r="F373">
        <v>3.72</v>
      </c>
    </row>
    <row r="374" spans="6:6" x14ac:dyDescent="0.25">
      <c r="F374">
        <v>3.73</v>
      </c>
    </row>
    <row r="375" spans="6:6" x14ac:dyDescent="0.25">
      <c r="F375">
        <v>3.74</v>
      </c>
    </row>
    <row r="376" spans="6:6" x14ac:dyDescent="0.25">
      <c r="F376">
        <v>3.75</v>
      </c>
    </row>
    <row r="377" spans="6:6" x14ac:dyDescent="0.25">
      <c r="F377">
        <v>3.76</v>
      </c>
    </row>
    <row r="378" spans="6:6" x14ac:dyDescent="0.25">
      <c r="F378">
        <v>3.77</v>
      </c>
    </row>
    <row r="379" spans="6:6" x14ac:dyDescent="0.25">
      <c r="F379">
        <v>3.78</v>
      </c>
    </row>
    <row r="380" spans="6:6" x14ac:dyDescent="0.25">
      <c r="F380">
        <v>3.79</v>
      </c>
    </row>
    <row r="381" spans="6:6" x14ac:dyDescent="0.25">
      <c r="F381">
        <v>3.8</v>
      </c>
    </row>
    <row r="382" spans="6:6" x14ac:dyDescent="0.25">
      <c r="F382">
        <v>3.81</v>
      </c>
    </row>
    <row r="383" spans="6:6" x14ac:dyDescent="0.25">
      <c r="F383">
        <v>3.82</v>
      </c>
    </row>
    <row r="384" spans="6:6" x14ac:dyDescent="0.25">
      <c r="F384">
        <v>3.83</v>
      </c>
    </row>
    <row r="385" spans="6:6" x14ac:dyDescent="0.25">
      <c r="F385">
        <v>3.84</v>
      </c>
    </row>
    <row r="386" spans="6:6" x14ac:dyDescent="0.25">
      <c r="F386">
        <v>3.85</v>
      </c>
    </row>
    <row r="387" spans="6:6" x14ac:dyDescent="0.25">
      <c r="F387">
        <v>3.86</v>
      </c>
    </row>
    <row r="388" spans="6:6" x14ac:dyDescent="0.25">
      <c r="F388">
        <v>3.87</v>
      </c>
    </row>
    <row r="389" spans="6:6" x14ac:dyDescent="0.25">
      <c r="F389">
        <v>3.88</v>
      </c>
    </row>
    <row r="390" spans="6:6" x14ac:dyDescent="0.25">
      <c r="F390">
        <v>3.89</v>
      </c>
    </row>
    <row r="391" spans="6:6" x14ac:dyDescent="0.25">
      <c r="F391">
        <v>3.9</v>
      </c>
    </row>
    <row r="392" spans="6:6" x14ac:dyDescent="0.25">
      <c r="F392">
        <v>3.91</v>
      </c>
    </row>
    <row r="393" spans="6:6" x14ac:dyDescent="0.25">
      <c r="F393">
        <v>3.92</v>
      </c>
    </row>
    <row r="394" spans="6:6" x14ac:dyDescent="0.25">
      <c r="F394">
        <v>3.93</v>
      </c>
    </row>
    <row r="395" spans="6:6" x14ac:dyDescent="0.25">
      <c r="F395">
        <v>3.94</v>
      </c>
    </row>
    <row r="396" spans="6:6" x14ac:dyDescent="0.25">
      <c r="F396">
        <v>3.95</v>
      </c>
    </row>
    <row r="397" spans="6:6" x14ac:dyDescent="0.25">
      <c r="F397">
        <v>3.96</v>
      </c>
    </row>
    <row r="398" spans="6:6" x14ac:dyDescent="0.25">
      <c r="F398">
        <v>3.97</v>
      </c>
    </row>
    <row r="399" spans="6:6" x14ac:dyDescent="0.25">
      <c r="F399">
        <v>3.98</v>
      </c>
    </row>
    <row r="400" spans="6:6" x14ac:dyDescent="0.25">
      <c r="F400">
        <v>3.99</v>
      </c>
    </row>
    <row r="401" spans="6:6" x14ac:dyDescent="0.25">
      <c r="F401">
        <v>4</v>
      </c>
    </row>
    <row r="402" spans="6:6" x14ac:dyDescent="0.25">
      <c r="F402">
        <v>4.01</v>
      </c>
    </row>
    <row r="403" spans="6:6" x14ac:dyDescent="0.25">
      <c r="F403">
        <v>4.0199999999999996</v>
      </c>
    </row>
    <row r="404" spans="6:6" x14ac:dyDescent="0.25">
      <c r="F404">
        <v>4.03</v>
      </c>
    </row>
    <row r="405" spans="6:6" x14ac:dyDescent="0.25">
      <c r="F405">
        <v>4.04</v>
      </c>
    </row>
    <row r="406" spans="6:6" x14ac:dyDescent="0.25">
      <c r="F406">
        <v>4.05</v>
      </c>
    </row>
    <row r="407" spans="6:6" x14ac:dyDescent="0.25">
      <c r="F407">
        <v>4.0599999999999996</v>
      </c>
    </row>
    <row r="408" spans="6:6" x14ac:dyDescent="0.25">
      <c r="F408">
        <v>4.07</v>
      </c>
    </row>
    <row r="409" spans="6:6" x14ac:dyDescent="0.25">
      <c r="F409">
        <v>4.08</v>
      </c>
    </row>
    <row r="410" spans="6:6" x14ac:dyDescent="0.25">
      <c r="F410">
        <v>4.09</v>
      </c>
    </row>
    <row r="411" spans="6:6" x14ac:dyDescent="0.25">
      <c r="F411">
        <v>4.0999999999999996</v>
      </c>
    </row>
    <row r="412" spans="6:6" x14ac:dyDescent="0.25">
      <c r="F412">
        <v>4.1100000000000003</v>
      </c>
    </row>
    <row r="413" spans="6:6" x14ac:dyDescent="0.25">
      <c r="F413">
        <v>4.12</v>
      </c>
    </row>
    <row r="414" spans="6:6" x14ac:dyDescent="0.25">
      <c r="F414">
        <v>4.13</v>
      </c>
    </row>
    <row r="415" spans="6:6" x14ac:dyDescent="0.25">
      <c r="F415">
        <v>4.1399999999999997</v>
      </c>
    </row>
    <row r="416" spans="6:6" x14ac:dyDescent="0.25">
      <c r="F416">
        <v>4.1500000000000004</v>
      </c>
    </row>
    <row r="417" spans="6:6" x14ac:dyDescent="0.25">
      <c r="F417">
        <v>4.16</v>
      </c>
    </row>
    <row r="418" spans="6:6" x14ac:dyDescent="0.25">
      <c r="F418">
        <v>4.17</v>
      </c>
    </row>
    <row r="419" spans="6:6" x14ac:dyDescent="0.25">
      <c r="F419">
        <v>4.18</v>
      </c>
    </row>
    <row r="420" spans="6:6" x14ac:dyDescent="0.25">
      <c r="F420">
        <v>4.1900000000000004</v>
      </c>
    </row>
    <row r="421" spans="6:6" x14ac:dyDescent="0.25">
      <c r="F421">
        <v>4.2</v>
      </c>
    </row>
    <row r="422" spans="6:6" x14ac:dyDescent="0.25">
      <c r="F422">
        <v>4.21</v>
      </c>
    </row>
    <row r="423" spans="6:6" x14ac:dyDescent="0.25">
      <c r="F423">
        <v>4.22</v>
      </c>
    </row>
    <row r="424" spans="6:6" x14ac:dyDescent="0.25">
      <c r="F424">
        <v>4.2300000000000004</v>
      </c>
    </row>
    <row r="425" spans="6:6" x14ac:dyDescent="0.25">
      <c r="F425">
        <v>4.24</v>
      </c>
    </row>
    <row r="426" spans="6:6" x14ac:dyDescent="0.25">
      <c r="F426">
        <v>4.25</v>
      </c>
    </row>
    <row r="427" spans="6:6" x14ac:dyDescent="0.25">
      <c r="F427">
        <v>4.26</v>
      </c>
    </row>
    <row r="428" spans="6:6" x14ac:dyDescent="0.25">
      <c r="F428">
        <v>4.2699999999999996</v>
      </c>
    </row>
    <row r="429" spans="6:6" x14ac:dyDescent="0.25">
      <c r="F429">
        <v>4.28</v>
      </c>
    </row>
    <row r="430" spans="6:6" x14ac:dyDescent="0.25">
      <c r="F430">
        <v>4.29</v>
      </c>
    </row>
    <row r="431" spans="6:6" x14ac:dyDescent="0.25">
      <c r="F431">
        <v>4.3</v>
      </c>
    </row>
    <row r="432" spans="6:6" x14ac:dyDescent="0.25">
      <c r="F432">
        <v>4.3099999999999996</v>
      </c>
    </row>
    <row r="433" spans="6:6" x14ac:dyDescent="0.25">
      <c r="F433">
        <v>4.32</v>
      </c>
    </row>
    <row r="434" spans="6:6" x14ac:dyDescent="0.25">
      <c r="F434">
        <v>4.33</v>
      </c>
    </row>
    <row r="435" spans="6:6" x14ac:dyDescent="0.25">
      <c r="F435">
        <v>4.34</v>
      </c>
    </row>
    <row r="436" spans="6:6" x14ac:dyDescent="0.25">
      <c r="F436">
        <v>4.3499999999999996</v>
      </c>
    </row>
    <row r="437" spans="6:6" x14ac:dyDescent="0.25">
      <c r="F437">
        <v>4.3600000000000003</v>
      </c>
    </row>
    <row r="438" spans="6:6" x14ac:dyDescent="0.25">
      <c r="F438">
        <v>4.37</v>
      </c>
    </row>
    <row r="439" spans="6:6" x14ac:dyDescent="0.25">
      <c r="F439">
        <v>4.38</v>
      </c>
    </row>
    <row r="440" spans="6:6" x14ac:dyDescent="0.25">
      <c r="F440">
        <v>4.3899999999999997</v>
      </c>
    </row>
    <row r="441" spans="6:6" x14ac:dyDescent="0.25">
      <c r="F441">
        <v>4.4000000000000004</v>
      </c>
    </row>
    <row r="442" spans="6:6" x14ac:dyDescent="0.25">
      <c r="F442">
        <v>4.41</v>
      </c>
    </row>
    <row r="443" spans="6:6" x14ac:dyDescent="0.25">
      <c r="F443">
        <v>4.42</v>
      </c>
    </row>
    <row r="444" spans="6:6" x14ac:dyDescent="0.25">
      <c r="F444">
        <v>4.43</v>
      </c>
    </row>
    <row r="445" spans="6:6" x14ac:dyDescent="0.25">
      <c r="F445">
        <v>4.4400000000000004</v>
      </c>
    </row>
    <row r="446" spans="6:6" x14ac:dyDescent="0.25">
      <c r="F446">
        <v>4.45</v>
      </c>
    </row>
    <row r="447" spans="6:6" x14ac:dyDescent="0.25">
      <c r="F447">
        <v>4.46</v>
      </c>
    </row>
    <row r="448" spans="6:6" x14ac:dyDescent="0.25">
      <c r="F448">
        <v>4.47</v>
      </c>
    </row>
    <row r="449" spans="6:6" x14ac:dyDescent="0.25">
      <c r="F449">
        <v>4.4800000000000004</v>
      </c>
    </row>
    <row r="450" spans="6:6" x14ac:dyDescent="0.25">
      <c r="F450">
        <v>4.49</v>
      </c>
    </row>
    <row r="451" spans="6:6" x14ac:dyDescent="0.25">
      <c r="F451">
        <v>4.5</v>
      </c>
    </row>
    <row r="452" spans="6:6" x14ac:dyDescent="0.25">
      <c r="F452">
        <v>4.51</v>
      </c>
    </row>
    <row r="453" spans="6:6" x14ac:dyDescent="0.25">
      <c r="F453">
        <v>4.5199999999999996</v>
      </c>
    </row>
    <row r="454" spans="6:6" x14ac:dyDescent="0.25">
      <c r="F454">
        <v>4.53</v>
      </c>
    </row>
    <row r="455" spans="6:6" x14ac:dyDescent="0.25">
      <c r="F455">
        <v>4.54</v>
      </c>
    </row>
    <row r="456" spans="6:6" x14ac:dyDescent="0.25">
      <c r="F456">
        <v>4.55</v>
      </c>
    </row>
    <row r="457" spans="6:6" x14ac:dyDescent="0.25">
      <c r="F457">
        <v>4.5599999999999996</v>
      </c>
    </row>
    <row r="458" spans="6:6" x14ac:dyDescent="0.25">
      <c r="F458">
        <v>4.57</v>
      </c>
    </row>
    <row r="459" spans="6:6" x14ac:dyDescent="0.25">
      <c r="F459">
        <v>4.58</v>
      </c>
    </row>
    <row r="460" spans="6:6" x14ac:dyDescent="0.25">
      <c r="F460">
        <v>4.59</v>
      </c>
    </row>
    <row r="461" spans="6:6" x14ac:dyDescent="0.25">
      <c r="F461">
        <v>4.5999999999999996</v>
      </c>
    </row>
    <row r="462" spans="6:6" x14ac:dyDescent="0.25">
      <c r="F462">
        <v>4.6100000000000003</v>
      </c>
    </row>
    <row r="463" spans="6:6" x14ac:dyDescent="0.25">
      <c r="F463">
        <v>4.62</v>
      </c>
    </row>
    <row r="464" spans="6:6" x14ac:dyDescent="0.25">
      <c r="F464">
        <v>4.63</v>
      </c>
    </row>
    <row r="465" spans="6:6" x14ac:dyDescent="0.25">
      <c r="F465">
        <v>4.6399999999999997</v>
      </c>
    </row>
    <row r="466" spans="6:6" x14ac:dyDescent="0.25">
      <c r="F466">
        <v>4.6500000000000004</v>
      </c>
    </row>
    <row r="467" spans="6:6" x14ac:dyDescent="0.25">
      <c r="F467">
        <v>4.66</v>
      </c>
    </row>
    <row r="468" spans="6:6" x14ac:dyDescent="0.25">
      <c r="F468">
        <v>4.67</v>
      </c>
    </row>
    <row r="469" spans="6:6" x14ac:dyDescent="0.25">
      <c r="F469">
        <v>4.68</v>
      </c>
    </row>
    <row r="470" spans="6:6" x14ac:dyDescent="0.25">
      <c r="F470">
        <v>4.6900000000000004</v>
      </c>
    </row>
    <row r="471" spans="6:6" x14ac:dyDescent="0.25">
      <c r="F471">
        <v>4.7</v>
      </c>
    </row>
    <row r="472" spans="6:6" x14ac:dyDescent="0.25">
      <c r="F472">
        <v>4.71</v>
      </c>
    </row>
    <row r="473" spans="6:6" x14ac:dyDescent="0.25">
      <c r="F473">
        <v>4.72</v>
      </c>
    </row>
    <row r="474" spans="6:6" x14ac:dyDescent="0.25">
      <c r="F474">
        <v>4.7300000000000004</v>
      </c>
    </row>
    <row r="475" spans="6:6" x14ac:dyDescent="0.25">
      <c r="F475">
        <v>4.74</v>
      </c>
    </row>
    <row r="476" spans="6:6" x14ac:dyDescent="0.25">
      <c r="F476">
        <v>4.75</v>
      </c>
    </row>
    <row r="477" spans="6:6" x14ac:dyDescent="0.25">
      <c r="F477">
        <v>4.76</v>
      </c>
    </row>
    <row r="478" spans="6:6" x14ac:dyDescent="0.25">
      <c r="F478">
        <v>4.7699999999999996</v>
      </c>
    </row>
    <row r="479" spans="6:6" x14ac:dyDescent="0.25">
      <c r="F479">
        <v>4.78</v>
      </c>
    </row>
    <row r="480" spans="6:6" x14ac:dyDescent="0.25">
      <c r="F480">
        <v>4.79</v>
      </c>
    </row>
    <row r="481" spans="6:6" x14ac:dyDescent="0.25">
      <c r="F481">
        <v>4.8</v>
      </c>
    </row>
    <row r="482" spans="6:6" x14ac:dyDescent="0.25">
      <c r="F482">
        <v>4.8099999999999996</v>
      </c>
    </row>
    <row r="483" spans="6:6" x14ac:dyDescent="0.25">
      <c r="F483">
        <v>4.82</v>
      </c>
    </row>
    <row r="484" spans="6:6" x14ac:dyDescent="0.25">
      <c r="F484">
        <v>4.83</v>
      </c>
    </row>
    <row r="485" spans="6:6" x14ac:dyDescent="0.25">
      <c r="F485">
        <v>4.84</v>
      </c>
    </row>
    <row r="486" spans="6:6" x14ac:dyDescent="0.25">
      <c r="F486">
        <v>4.8499999999999996</v>
      </c>
    </row>
    <row r="487" spans="6:6" x14ac:dyDescent="0.25">
      <c r="F487">
        <v>4.8600000000000003</v>
      </c>
    </row>
    <row r="488" spans="6:6" x14ac:dyDescent="0.25">
      <c r="F488">
        <v>4.87</v>
      </c>
    </row>
    <row r="489" spans="6:6" x14ac:dyDescent="0.25">
      <c r="F489">
        <v>4.88</v>
      </c>
    </row>
    <row r="490" spans="6:6" x14ac:dyDescent="0.25">
      <c r="F490">
        <v>4.8899999999999997</v>
      </c>
    </row>
    <row r="491" spans="6:6" x14ac:dyDescent="0.25">
      <c r="F491">
        <v>4.9000000000000004</v>
      </c>
    </row>
    <row r="492" spans="6:6" x14ac:dyDescent="0.25">
      <c r="F492">
        <v>4.91</v>
      </c>
    </row>
    <row r="493" spans="6:6" x14ac:dyDescent="0.25">
      <c r="F493">
        <v>4.92</v>
      </c>
    </row>
    <row r="494" spans="6:6" x14ac:dyDescent="0.25">
      <c r="F494">
        <v>4.93</v>
      </c>
    </row>
    <row r="495" spans="6:6" x14ac:dyDescent="0.25">
      <c r="F495">
        <v>4.9400000000000004</v>
      </c>
    </row>
    <row r="496" spans="6:6" x14ac:dyDescent="0.25">
      <c r="F496">
        <v>4.95</v>
      </c>
    </row>
    <row r="497" spans="6:6" x14ac:dyDescent="0.25">
      <c r="F497">
        <v>4.96</v>
      </c>
    </row>
    <row r="498" spans="6:6" x14ac:dyDescent="0.25">
      <c r="F498">
        <v>4.97</v>
      </c>
    </row>
    <row r="499" spans="6:6" x14ac:dyDescent="0.25">
      <c r="F499">
        <v>4.9800000000000004</v>
      </c>
    </row>
    <row r="500" spans="6:6" x14ac:dyDescent="0.25">
      <c r="F500">
        <v>4.99</v>
      </c>
    </row>
    <row r="501" spans="6:6" x14ac:dyDescent="0.25">
      <c r="F501">
        <v>5</v>
      </c>
    </row>
    <row r="502" spans="6:6" x14ac:dyDescent="0.25">
      <c r="F502">
        <v>5.01</v>
      </c>
    </row>
    <row r="503" spans="6:6" x14ac:dyDescent="0.25">
      <c r="F503">
        <v>5.0199999999999996</v>
      </c>
    </row>
    <row r="504" spans="6:6" x14ac:dyDescent="0.25">
      <c r="F504">
        <v>5.03</v>
      </c>
    </row>
    <row r="505" spans="6:6" x14ac:dyDescent="0.25">
      <c r="F505">
        <v>5.04</v>
      </c>
    </row>
    <row r="506" spans="6:6" x14ac:dyDescent="0.25">
      <c r="F506">
        <v>5.05</v>
      </c>
    </row>
    <row r="507" spans="6:6" x14ac:dyDescent="0.25">
      <c r="F507">
        <v>5.0599999999999996</v>
      </c>
    </row>
    <row r="508" spans="6:6" x14ac:dyDescent="0.25">
      <c r="F508">
        <v>5.07</v>
      </c>
    </row>
    <row r="509" spans="6:6" x14ac:dyDescent="0.25">
      <c r="F509">
        <v>5.08</v>
      </c>
    </row>
    <row r="510" spans="6:6" x14ac:dyDescent="0.25">
      <c r="F510">
        <v>5.09</v>
      </c>
    </row>
    <row r="511" spans="6:6" x14ac:dyDescent="0.25">
      <c r="F511">
        <v>5.0999999999999996</v>
      </c>
    </row>
    <row r="512" spans="6:6" x14ac:dyDescent="0.25">
      <c r="F512">
        <v>5.1100000000000003</v>
      </c>
    </row>
    <row r="513" spans="6:6" x14ac:dyDescent="0.25">
      <c r="F513">
        <v>5.12</v>
      </c>
    </row>
    <row r="514" spans="6:6" x14ac:dyDescent="0.25">
      <c r="F514">
        <v>5.13</v>
      </c>
    </row>
    <row r="515" spans="6:6" x14ac:dyDescent="0.25">
      <c r="F515">
        <v>5.14</v>
      </c>
    </row>
    <row r="516" spans="6:6" x14ac:dyDescent="0.25">
      <c r="F516">
        <v>5.15</v>
      </c>
    </row>
    <row r="517" spans="6:6" x14ac:dyDescent="0.25">
      <c r="F517">
        <v>5.16</v>
      </c>
    </row>
    <row r="518" spans="6:6" x14ac:dyDescent="0.25">
      <c r="F518">
        <v>5.17</v>
      </c>
    </row>
    <row r="519" spans="6:6" x14ac:dyDescent="0.25">
      <c r="F519">
        <v>5.18</v>
      </c>
    </row>
    <row r="520" spans="6:6" x14ac:dyDescent="0.25">
      <c r="F520">
        <v>5.19</v>
      </c>
    </row>
    <row r="521" spans="6:6" x14ac:dyDescent="0.25">
      <c r="F521">
        <v>5.2</v>
      </c>
    </row>
    <row r="522" spans="6:6" x14ac:dyDescent="0.25">
      <c r="F522">
        <v>5.21</v>
      </c>
    </row>
    <row r="523" spans="6:6" x14ac:dyDescent="0.25">
      <c r="F523">
        <v>5.22</v>
      </c>
    </row>
    <row r="524" spans="6:6" x14ac:dyDescent="0.25">
      <c r="F524">
        <v>5.23</v>
      </c>
    </row>
    <row r="525" spans="6:6" x14ac:dyDescent="0.25">
      <c r="F525">
        <v>5.24</v>
      </c>
    </row>
    <row r="526" spans="6:6" x14ac:dyDescent="0.25">
      <c r="F526">
        <v>5.25</v>
      </c>
    </row>
    <row r="527" spans="6:6" x14ac:dyDescent="0.25">
      <c r="F527">
        <v>5.26</v>
      </c>
    </row>
    <row r="528" spans="6:6" x14ac:dyDescent="0.25">
      <c r="F528">
        <v>5.27</v>
      </c>
    </row>
    <row r="529" spans="6:6" x14ac:dyDescent="0.25">
      <c r="F529">
        <v>5.28</v>
      </c>
    </row>
    <row r="530" spans="6:6" x14ac:dyDescent="0.25">
      <c r="F530">
        <v>5.29</v>
      </c>
    </row>
    <row r="531" spans="6:6" x14ac:dyDescent="0.25">
      <c r="F531">
        <v>5.3</v>
      </c>
    </row>
    <row r="532" spans="6:6" x14ac:dyDescent="0.25">
      <c r="F532">
        <v>5.31</v>
      </c>
    </row>
    <row r="533" spans="6:6" x14ac:dyDescent="0.25">
      <c r="F533">
        <v>5.32</v>
      </c>
    </row>
    <row r="534" spans="6:6" x14ac:dyDescent="0.25">
      <c r="F534">
        <v>5.33</v>
      </c>
    </row>
    <row r="535" spans="6:6" x14ac:dyDescent="0.25">
      <c r="F535">
        <v>5.34</v>
      </c>
    </row>
    <row r="536" spans="6:6" x14ac:dyDescent="0.25">
      <c r="F536">
        <v>5.35</v>
      </c>
    </row>
    <row r="537" spans="6:6" x14ac:dyDescent="0.25">
      <c r="F537">
        <v>5.36</v>
      </c>
    </row>
    <row r="538" spans="6:6" x14ac:dyDescent="0.25">
      <c r="F538">
        <v>5.37</v>
      </c>
    </row>
    <row r="539" spans="6:6" x14ac:dyDescent="0.25">
      <c r="F539">
        <v>5.38</v>
      </c>
    </row>
    <row r="540" spans="6:6" x14ac:dyDescent="0.25">
      <c r="F540">
        <v>5.39</v>
      </c>
    </row>
    <row r="541" spans="6:6" x14ac:dyDescent="0.25">
      <c r="F541">
        <v>5.4</v>
      </c>
    </row>
    <row r="542" spans="6:6" x14ac:dyDescent="0.25">
      <c r="F542">
        <v>5.41</v>
      </c>
    </row>
    <row r="543" spans="6:6" x14ac:dyDescent="0.25">
      <c r="F543">
        <v>5.42</v>
      </c>
    </row>
    <row r="544" spans="6:6" x14ac:dyDescent="0.25">
      <c r="F544">
        <v>5.43</v>
      </c>
    </row>
    <row r="545" spans="6:6" x14ac:dyDescent="0.25">
      <c r="F545">
        <v>5.44</v>
      </c>
    </row>
    <row r="546" spans="6:6" x14ac:dyDescent="0.25">
      <c r="F546">
        <v>5.45</v>
      </c>
    </row>
    <row r="547" spans="6:6" x14ac:dyDescent="0.25">
      <c r="F547">
        <v>5.46</v>
      </c>
    </row>
    <row r="548" spans="6:6" x14ac:dyDescent="0.25">
      <c r="F548">
        <v>5.47</v>
      </c>
    </row>
    <row r="549" spans="6:6" x14ac:dyDescent="0.25">
      <c r="F549">
        <v>5.48</v>
      </c>
    </row>
    <row r="550" spans="6:6" x14ac:dyDescent="0.25">
      <c r="F550">
        <v>5.49</v>
      </c>
    </row>
    <row r="551" spans="6:6" x14ac:dyDescent="0.25">
      <c r="F551">
        <v>5.5</v>
      </c>
    </row>
    <row r="552" spans="6:6" x14ac:dyDescent="0.25">
      <c r="F552">
        <v>5.51</v>
      </c>
    </row>
    <row r="553" spans="6:6" x14ac:dyDescent="0.25">
      <c r="F553">
        <v>5.52</v>
      </c>
    </row>
    <row r="554" spans="6:6" x14ac:dyDescent="0.25">
      <c r="F554">
        <v>5.53</v>
      </c>
    </row>
    <row r="555" spans="6:6" x14ac:dyDescent="0.25">
      <c r="F555">
        <v>5.54</v>
      </c>
    </row>
    <row r="556" spans="6:6" x14ac:dyDescent="0.25">
      <c r="F556">
        <v>5.55</v>
      </c>
    </row>
    <row r="557" spans="6:6" x14ac:dyDescent="0.25">
      <c r="F557">
        <v>5.56</v>
      </c>
    </row>
    <row r="558" spans="6:6" x14ac:dyDescent="0.25">
      <c r="F558">
        <v>5.57</v>
      </c>
    </row>
    <row r="559" spans="6:6" x14ac:dyDescent="0.25">
      <c r="F559">
        <v>5.58</v>
      </c>
    </row>
    <row r="560" spans="6:6" x14ac:dyDescent="0.25">
      <c r="F560">
        <v>5.59</v>
      </c>
    </row>
    <row r="561" spans="6:6" x14ac:dyDescent="0.25">
      <c r="F561">
        <v>5.6</v>
      </c>
    </row>
    <row r="562" spans="6:6" x14ac:dyDescent="0.25">
      <c r="F562">
        <v>5.61</v>
      </c>
    </row>
    <row r="563" spans="6:6" x14ac:dyDescent="0.25">
      <c r="F563">
        <v>5.62</v>
      </c>
    </row>
    <row r="564" spans="6:6" x14ac:dyDescent="0.25">
      <c r="F564">
        <v>5.63</v>
      </c>
    </row>
    <row r="565" spans="6:6" x14ac:dyDescent="0.25">
      <c r="F565">
        <v>5.64</v>
      </c>
    </row>
    <row r="566" spans="6:6" x14ac:dyDescent="0.25">
      <c r="F566">
        <v>5.65</v>
      </c>
    </row>
    <row r="567" spans="6:6" x14ac:dyDescent="0.25">
      <c r="F567">
        <v>5.66</v>
      </c>
    </row>
    <row r="568" spans="6:6" x14ac:dyDescent="0.25">
      <c r="F568">
        <v>5.67</v>
      </c>
    </row>
    <row r="569" spans="6:6" x14ac:dyDescent="0.25">
      <c r="F569">
        <v>5.68</v>
      </c>
    </row>
    <row r="570" spans="6:6" x14ac:dyDescent="0.25">
      <c r="F570">
        <v>5.69</v>
      </c>
    </row>
    <row r="571" spans="6:6" x14ac:dyDescent="0.25">
      <c r="F571">
        <v>5.7</v>
      </c>
    </row>
    <row r="572" spans="6:6" x14ac:dyDescent="0.25">
      <c r="F572">
        <v>5.71</v>
      </c>
    </row>
    <row r="573" spans="6:6" x14ac:dyDescent="0.25">
      <c r="F573">
        <v>5.72</v>
      </c>
    </row>
    <row r="574" spans="6:6" x14ac:dyDescent="0.25">
      <c r="F574">
        <v>5.73</v>
      </c>
    </row>
    <row r="575" spans="6:6" x14ac:dyDescent="0.25">
      <c r="F575">
        <v>5.74</v>
      </c>
    </row>
    <row r="576" spans="6:6" x14ac:dyDescent="0.25">
      <c r="F576">
        <v>5.75</v>
      </c>
    </row>
    <row r="577" spans="6:6" x14ac:dyDescent="0.25">
      <c r="F577">
        <v>5.76</v>
      </c>
    </row>
    <row r="578" spans="6:6" x14ac:dyDescent="0.25">
      <c r="F578">
        <v>5.77</v>
      </c>
    </row>
    <row r="579" spans="6:6" x14ac:dyDescent="0.25">
      <c r="F579">
        <v>5.78</v>
      </c>
    </row>
    <row r="580" spans="6:6" x14ac:dyDescent="0.25">
      <c r="F580">
        <v>5.79</v>
      </c>
    </row>
    <row r="581" spans="6:6" x14ac:dyDescent="0.25">
      <c r="F581">
        <v>5.8</v>
      </c>
    </row>
    <row r="582" spans="6:6" x14ac:dyDescent="0.25">
      <c r="F582">
        <v>5.81</v>
      </c>
    </row>
    <row r="583" spans="6:6" x14ac:dyDescent="0.25">
      <c r="F583">
        <v>5.82</v>
      </c>
    </row>
    <row r="584" spans="6:6" x14ac:dyDescent="0.25">
      <c r="F584">
        <v>5.83</v>
      </c>
    </row>
    <row r="585" spans="6:6" x14ac:dyDescent="0.25">
      <c r="F585">
        <v>5.84</v>
      </c>
    </row>
    <row r="586" spans="6:6" x14ac:dyDescent="0.25">
      <c r="F586">
        <v>5.85</v>
      </c>
    </row>
    <row r="587" spans="6:6" x14ac:dyDescent="0.25">
      <c r="F587">
        <v>5.86</v>
      </c>
    </row>
    <row r="588" spans="6:6" x14ac:dyDescent="0.25">
      <c r="F588">
        <v>5.87</v>
      </c>
    </row>
    <row r="589" spans="6:6" x14ac:dyDescent="0.25">
      <c r="F589">
        <v>5.88</v>
      </c>
    </row>
    <row r="590" spans="6:6" x14ac:dyDescent="0.25">
      <c r="F590">
        <v>5.89</v>
      </c>
    </row>
    <row r="591" spans="6:6" x14ac:dyDescent="0.25">
      <c r="F591">
        <v>5.9</v>
      </c>
    </row>
    <row r="592" spans="6:6" x14ac:dyDescent="0.25">
      <c r="F592">
        <v>5.91</v>
      </c>
    </row>
    <row r="593" spans="6:6" x14ac:dyDescent="0.25">
      <c r="F593">
        <v>5.92</v>
      </c>
    </row>
    <row r="594" spans="6:6" x14ac:dyDescent="0.25">
      <c r="F594">
        <v>5.93</v>
      </c>
    </row>
    <row r="595" spans="6:6" x14ac:dyDescent="0.25">
      <c r="F595">
        <v>5.94</v>
      </c>
    </row>
    <row r="596" spans="6:6" x14ac:dyDescent="0.25">
      <c r="F596">
        <v>5.95</v>
      </c>
    </row>
    <row r="597" spans="6:6" x14ac:dyDescent="0.25">
      <c r="F597">
        <v>5.96</v>
      </c>
    </row>
    <row r="598" spans="6:6" x14ac:dyDescent="0.25">
      <c r="F598">
        <v>5.97</v>
      </c>
    </row>
    <row r="599" spans="6:6" x14ac:dyDescent="0.25">
      <c r="F599">
        <v>5.98</v>
      </c>
    </row>
    <row r="600" spans="6:6" x14ac:dyDescent="0.25">
      <c r="F600">
        <v>5.99</v>
      </c>
    </row>
    <row r="601" spans="6:6" x14ac:dyDescent="0.25">
      <c r="F601">
        <v>6</v>
      </c>
    </row>
    <row r="602" spans="6:6" x14ac:dyDescent="0.25">
      <c r="F602">
        <v>6.01</v>
      </c>
    </row>
    <row r="603" spans="6:6" x14ac:dyDescent="0.25">
      <c r="F603">
        <v>6.02</v>
      </c>
    </row>
    <row r="604" spans="6:6" x14ac:dyDescent="0.25">
      <c r="F604">
        <v>6.03</v>
      </c>
    </row>
    <row r="605" spans="6:6" x14ac:dyDescent="0.25">
      <c r="F605">
        <v>6.04</v>
      </c>
    </row>
    <row r="606" spans="6:6" x14ac:dyDescent="0.25">
      <c r="F606">
        <v>6.05</v>
      </c>
    </row>
    <row r="607" spans="6:6" x14ac:dyDescent="0.25">
      <c r="F607">
        <v>6.06</v>
      </c>
    </row>
    <row r="608" spans="6:6" x14ac:dyDescent="0.25">
      <c r="F608">
        <v>6.07</v>
      </c>
    </row>
    <row r="609" spans="6:6" x14ac:dyDescent="0.25">
      <c r="F609">
        <v>6.08</v>
      </c>
    </row>
    <row r="610" spans="6:6" x14ac:dyDescent="0.25">
      <c r="F610">
        <v>6.09</v>
      </c>
    </row>
    <row r="611" spans="6:6" x14ac:dyDescent="0.25">
      <c r="F611">
        <v>6.1</v>
      </c>
    </row>
    <row r="612" spans="6:6" x14ac:dyDescent="0.25">
      <c r="F612">
        <v>6.11</v>
      </c>
    </row>
    <row r="613" spans="6:6" x14ac:dyDescent="0.25">
      <c r="F613">
        <v>6.12</v>
      </c>
    </row>
    <row r="614" spans="6:6" x14ac:dyDescent="0.25">
      <c r="F614">
        <v>6.13</v>
      </c>
    </row>
    <row r="615" spans="6:6" x14ac:dyDescent="0.25">
      <c r="F615">
        <v>6.14</v>
      </c>
    </row>
    <row r="616" spans="6:6" x14ac:dyDescent="0.25">
      <c r="F616">
        <v>6.15</v>
      </c>
    </row>
    <row r="617" spans="6:6" x14ac:dyDescent="0.25">
      <c r="F617">
        <v>6.16</v>
      </c>
    </row>
    <row r="618" spans="6:6" x14ac:dyDescent="0.25">
      <c r="F618">
        <v>6.17</v>
      </c>
    </row>
    <row r="619" spans="6:6" x14ac:dyDescent="0.25">
      <c r="F619">
        <v>6.18</v>
      </c>
    </row>
    <row r="620" spans="6:6" x14ac:dyDescent="0.25">
      <c r="F620">
        <v>6.19</v>
      </c>
    </row>
    <row r="621" spans="6:6" x14ac:dyDescent="0.25">
      <c r="F621">
        <v>6.2</v>
      </c>
    </row>
    <row r="622" spans="6:6" x14ac:dyDescent="0.25">
      <c r="F622">
        <v>6.21</v>
      </c>
    </row>
    <row r="623" spans="6:6" x14ac:dyDescent="0.25">
      <c r="F623">
        <v>6.22</v>
      </c>
    </row>
    <row r="624" spans="6:6" x14ac:dyDescent="0.25">
      <c r="F624">
        <v>6.23</v>
      </c>
    </row>
    <row r="625" spans="6:6" x14ac:dyDescent="0.25">
      <c r="F625">
        <v>6.24</v>
      </c>
    </row>
    <row r="626" spans="6:6" x14ac:dyDescent="0.25">
      <c r="F626">
        <v>6.25</v>
      </c>
    </row>
    <row r="627" spans="6:6" x14ac:dyDescent="0.25">
      <c r="F627">
        <v>6.26</v>
      </c>
    </row>
    <row r="628" spans="6:6" x14ac:dyDescent="0.25">
      <c r="F628">
        <v>6.27</v>
      </c>
    </row>
    <row r="629" spans="6:6" x14ac:dyDescent="0.25">
      <c r="F629">
        <v>6.28</v>
      </c>
    </row>
    <row r="630" spans="6:6" x14ac:dyDescent="0.25">
      <c r="F630">
        <v>6.29</v>
      </c>
    </row>
    <row r="631" spans="6:6" x14ac:dyDescent="0.25">
      <c r="F631">
        <v>6.3</v>
      </c>
    </row>
    <row r="632" spans="6:6" x14ac:dyDescent="0.25">
      <c r="F632">
        <v>6.31</v>
      </c>
    </row>
    <row r="633" spans="6:6" x14ac:dyDescent="0.25">
      <c r="F633">
        <v>6.32</v>
      </c>
    </row>
    <row r="634" spans="6:6" x14ac:dyDescent="0.25">
      <c r="F634">
        <v>6.33</v>
      </c>
    </row>
    <row r="635" spans="6:6" x14ac:dyDescent="0.25">
      <c r="F635">
        <v>6.34</v>
      </c>
    </row>
    <row r="636" spans="6:6" x14ac:dyDescent="0.25">
      <c r="F636">
        <v>6.35</v>
      </c>
    </row>
    <row r="637" spans="6:6" x14ac:dyDescent="0.25">
      <c r="F637">
        <v>6.36</v>
      </c>
    </row>
    <row r="638" spans="6:6" x14ac:dyDescent="0.25">
      <c r="F638">
        <v>6.37</v>
      </c>
    </row>
    <row r="639" spans="6:6" x14ac:dyDescent="0.25">
      <c r="F639">
        <v>6.38</v>
      </c>
    </row>
    <row r="640" spans="6:6" x14ac:dyDescent="0.25">
      <c r="F640">
        <v>6.39</v>
      </c>
    </row>
    <row r="641" spans="6:6" x14ac:dyDescent="0.25">
      <c r="F641">
        <v>6.4</v>
      </c>
    </row>
    <row r="642" spans="6:6" x14ac:dyDescent="0.25">
      <c r="F642">
        <v>6.41</v>
      </c>
    </row>
    <row r="643" spans="6:6" x14ac:dyDescent="0.25">
      <c r="F643">
        <v>6.42</v>
      </c>
    </row>
    <row r="644" spans="6:6" x14ac:dyDescent="0.25">
      <c r="F644">
        <v>6.43</v>
      </c>
    </row>
    <row r="645" spans="6:6" x14ac:dyDescent="0.25">
      <c r="F645">
        <v>6.44</v>
      </c>
    </row>
    <row r="646" spans="6:6" x14ac:dyDescent="0.25">
      <c r="F646">
        <v>6.45</v>
      </c>
    </row>
    <row r="647" spans="6:6" x14ac:dyDescent="0.25">
      <c r="F647">
        <v>6.46</v>
      </c>
    </row>
    <row r="648" spans="6:6" x14ac:dyDescent="0.25">
      <c r="F648">
        <v>6.47</v>
      </c>
    </row>
    <row r="649" spans="6:6" x14ac:dyDescent="0.25">
      <c r="F649">
        <v>6.48</v>
      </c>
    </row>
    <row r="650" spans="6:6" x14ac:dyDescent="0.25">
      <c r="F650">
        <v>6.49</v>
      </c>
    </row>
    <row r="651" spans="6:6" x14ac:dyDescent="0.25">
      <c r="F651">
        <v>6.5</v>
      </c>
    </row>
    <row r="652" spans="6:6" x14ac:dyDescent="0.25">
      <c r="F652">
        <v>6.51</v>
      </c>
    </row>
    <row r="653" spans="6:6" x14ac:dyDescent="0.25">
      <c r="F653">
        <v>6.52</v>
      </c>
    </row>
    <row r="654" spans="6:6" x14ac:dyDescent="0.25">
      <c r="F654">
        <v>6.53</v>
      </c>
    </row>
    <row r="655" spans="6:6" x14ac:dyDescent="0.25">
      <c r="F655">
        <v>6.54</v>
      </c>
    </row>
    <row r="656" spans="6:6" x14ac:dyDescent="0.25">
      <c r="F656">
        <v>6.55</v>
      </c>
    </row>
    <row r="657" spans="6:6" x14ac:dyDescent="0.25">
      <c r="F657">
        <v>6.56</v>
      </c>
    </row>
    <row r="658" spans="6:6" x14ac:dyDescent="0.25">
      <c r="F658">
        <v>6.57</v>
      </c>
    </row>
    <row r="659" spans="6:6" x14ac:dyDescent="0.25">
      <c r="F659">
        <v>6.58</v>
      </c>
    </row>
    <row r="660" spans="6:6" x14ac:dyDescent="0.25">
      <c r="F660">
        <v>6.59</v>
      </c>
    </row>
    <row r="661" spans="6:6" x14ac:dyDescent="0.25">
      <c r="F661">
        <v>6.6</v>
      </c>
    </row>
    <row r="662" spans="6:6" x14ac:dyDescent="0.25">
      <c r="F662">
        <v>6.61</v>
      </c>
    </row>
    <row r="663" spans="6:6" x14ac:dyDescent="0.25">
      <c r="F663">
        <v>6.62</v>
      </c>
    </row>
    <row r="664" spans="6:6" x14ac:dyDescent="0.25">
      <c r="F664">
        <v>6.63</v>
      </c>
    </row>
    <row r="665" spans="6:6" x14ac:dyDescent="0.25">
      <c r="F665">
        <v>6.64</v>
      </c>
    </row>
    <row r="666" spans="6:6" x14ac:dyDescent="0.25">
      <c r="F666">
        <v>6.65</v>
      </c>
    </row>
    <row r="667" spans="6:6" x14ac:dyDescent="0.25">
      <c r="F667">
        <v>6.66</v>
      </c>
    </row>
    <row r="668" spans="6:6" x14ac:dyDescent="0.25">
      <c r="F668">
        <v>6.67</v>
      </c>
    </row>
    <row r="669" spans="6:6" x14ac:dyDescent="0.25">
      <c r="F669">
        <v>6.68</v>
      </c>
    </row>
    <row r="670" spans="6:6" x14ac:dyDescent="0.25">
      <c r="F670">
        <v>6.69</v>
      </c>
    </row>
    <row r="671" spans="6:6" x14ac:dyDescent="0.25">
      <c r="F671">
        <v>6.7</v>
      </c>
    </row>
    <row r="672" spans="6:6" x14ac:dyDescent="0.25">
      <c r="F672">
        <v>6.71</v>
      </c>
    </row>
    <row r="673" spans="6:6" x14ac:dyDescent="0.25">
      <c r="F673">
        <v>6.72</v>
      </c>
    </row>
    <row r="674" spans="6:6" x14ac:dyDescent="0.25">
      <c r="F674">
        <v>6.73</v>
      </c>
    </row>
    <row r="675" spans="6:6" x14ac:dyDescent="0.25">
      <c r="F675">
        <v>6.74</v>
      </c>
    </row>
    <row r="676" spans="6:6" x14ac:dyDescent="0.25">
      <c r="F676">
        <v>6.75</v>
      </c>
    </row>
    <row r="677" spans="6:6" x14ac:dyDescent="0.25">
      <c r="F677">
        <v>6.76</v>
      </c>
    </row>
    <row r="678" spans="6:6" x14ac:dyDescent="0.25">
      <c r="F678">
        <v>6.77</v>
      </c>
    </row>
    <row r="679" spans="6:6" x14ac:dyDescent="0.25">
      <c r="F679">
        <v>6.78</v>
      </c>
    </row>
    <row r="680" spans="6:6" x14ac:dyDescent="0.25">
      <c r="F680">
        <v>6.79</v>
      </c>
    </row>
    <row r="681" spans="6:6" x14ac:dyDescent="0.25">
      <c r="F681">
        <v>6.8</v>
      </c>
    </row>
    <row r="682" spans="6:6" x14ac:dyDescent="0.25">
      <c r="F682">
        <v>6.81</v>
      </c>
    </row>
    <row r="683" spans="6:6" x14ac:dyDescent="0.25">
      <c r="F683">
        <v>6.82</v>
      </c>
    </row>
    <row r="684" spans="6:6" x14ac:dyDescent="0.25">
      <c r="F684">
        <v>6.83</v>
      </c>
    </row>
    <row r="685" spans="6:6" x14ac:dyDescent="0.25">
      <c r="F685">
        <v>6.84</v>
      </c>
    </row>
    <row r="686" spans="6:6" x14ac:dyDescent="0.25">
      <c r="F686">
        <v>6.85</v>
      </c>
    </row>
    <row r="687" spans="6:6" x14ac:dyDescent="0.25">
      <c r="F687">
        <v>6.86</v>
      </c>
    </row>
    <row r="688" spans="6:6" x14ac:dyDescent="0.25">
      <c r="F688">
        <v>6.87</v>
      </c>
    </row>
    <row r="689" spans="6:6" x14ac:dyDescent="0.25">
      <c r="F689">
        <v>6.88</v>
      </c>
    </row>
    <row r="690" spans="6:6" x14ac:dyDescent="0.25">
      <c r="F690">
        <v>6.89</v>
      </c>
    </row>
    <row r="691" spans="6:6" x14ac:dyDescent="0.25">
      <c r="F691">
        <v>6.9</v>
      </c>
    </row>
    <row r="692" spans="6:6" x14ac:dyDescent="0.25">
      <c r="F692">
        <v>6.91</v>
      </c>
    </row>
    <row r="693" spans="6:6" x14ac:dyDescent="0.25">
      <c r="F693">
        <v>6.92</v>
      </c>
    </row>
    <row r="694" spans="6:6" x14ac:dyDescent="0.25">
      <c r="F694">
        <v>6.93</v>
      </c>
    </row>
    <row r="695" spans="6:6" x14ac:dyDescent="0.25">
      <c r="F695">
        <v>6.94</v>
      </c>
    </row>
    <row r="696" spans="6:6" x14ac:dyDescent="0.25">
      <c r="F696">
        <v>6.95</v>
      </c>
    </row>
    <row r="697" spans="6:6" x14ac:dyDescent="0.25">
      <c r="F697">
        <v>6.96</v>
      </c>
    </row>
    <row r="698" spans="6:6" x14ac:dyDescent="0.25">
      <c r="F698">
        <v>6.97</v>
      </c>
    </row>
    <row r="699" spans="6:6" x14ac:dyDescent="0.25">
      <c r="F699">
        <v>6.98</v>
      </c>
    </row>
    <row r="700" spans="6:6" x14ac:dyDescent="0.25">
      <c r="F700">
        <v>6.99</v>
      </c>
    </row>
    <row r="701" spans="6:6" x14ac:dyDescent="0.25">
      <c r="F701">
        <v>7</v>
      </c>
    </row>
    <row r="702" spans="6:6" x14ac:dyDescent="0.25">
      <c r="F702">
        <v>7.01</v>
      </c>
    </row>
    <row r="703" spans="6:6" x14ac:dyDescent="0.25">
      <c r="F703">
        <v>7.02</v>
      </c>
    </row>
    <row r="704" spans="6:6" x14ac:dyDescent="0.25">
      <c r="F704">
        <v>7.03</v>
      </c>
    </row>
    <row r="705" spans="6:6" x14ac:dyDescent="0.25">
      <c r="F705">
        <v>7.04</v>
      </c>
    </row>
    <row r="706" spans="6:6" x14ac:dyDescent="0.25">
      <c r="F706">
        <v>7.05</v>
      </c>
    </row>
    <row r="707" spans="6:6" x14ac:dyDescent="0.25">
      <c r="F707">
        <v>7.06</v>
      </c>
    </row>
    <row r="708" spans="6:6" x14ac:dyDescent="0.25">
      <c r="F708">
        <v>7.07</v>
      </c>
    </row>
    <row r="709" spans="6:6" x14ac:dyDescent="0.25">
      <c r="F709">
        <v>7.08</v>
      </c>
    </row>
    <row r="710" spans="6:6" x14ac:dyDescent="0.25">
      <c r="F710">
        <v>7.09</v>
      </c>
    </row>
    <row r="711" spans="6:6" x14ac:dyDescent="0.25">
      <c r="F711">
        <v>7.1</v>
      </c>
    </row>
    <row r="712" spans="6:6" x14ac:dyDescent="0.25">
      <c r="F712">
        <v>7.11</v>
      </c>
    </row>
    <row r="713" spans="6:6" x14ac:dyDescent="0.25">
      <c r="F713">
        <v>7.12</v>
      </c>
    </row>
    <row r="714" spans="6:6" x14ac:dyDescent="0.25">
      <c r="F714">
        <v>7.13</v>
      </c>
    </row>
    <row r="715" spans="6:6" x14ac:dyDescent="0.25">
      <c r="F715">
        <v>7.14</v>
      </c>
    </row>
    <row r="716" spans="6:6" x14ac:dyDescent="0.25">
      <c r="F716">
        <v>7.15</v>
      </c>
    </row>
    <row r="717" spans="6:6" x14ac:dyDescent="0.25">
      <c r="F717">
        <v>7.16</v>
      </c>
    </row>
    <row r="718" spans="6:6" x14ac:dyDescent="0.25">
      <c r="F718">
        <v>7.17</v>
      </c>
    </row>
    <row r="719" spans="6:6" x14ac:dyDescent="0.25">
      <c r="F719">
        <v>7.18</v>
      </c>
    </row>
    <row r="720" spans="6:6" x14ac:dyDescent="0.25">
      <c r="F720">
        <v>7.19</v>
      </c>
    </row>
    <row r="721" spans="6:6" x14ac:dyDescent="0.25">
      <c r="F721">
        <v>7.2</v>
      </c>
    </row>
    <row r="722" spans="6:6" x14ac:dyDescent="0.25">
      <c r="F722">
        <v>7.21</v>
      </c>
    </row>
    <row r="723" spans="6:6" x14ac:dyDescent="0.25">
      <c r="F723">
        <v>7.22</v>
      </c>
    </row>
    <row r="724" spans="6:6" x14ac:dyDescent="0.25">
      <c r="F724">
        <v>7.23</v>
      </c>
    </row>
    <row r="725" spans="6:6" x14ac:dyDescent="0.25">
      <c r="F725">
        <v>7.24</v>
      </c>
    </row>
    <row r="726" spans="6:6" x14ac:dyDescent="0.25">
      <c r="F726">
        <v>7.25</v>
      </c>
    </row>
    <row r="727" spans="6:6" x14ac:dyDescent="0.25">
      <c r="F727">
        <v>7.26</v>
      </c>
    </row>
    <row r="728" spans="6:6" x14ac:dyDescent="0.25">
      <c r="F728">
        <v>7.27</v>
      </c>
    </row>
    <row r="729" spans="6:6" x14ac:dyDescent="0.25">
      <c r="F729">
        <v>7.28</v>
      </c>
    </row>
    <row r="730" spans="6:6" x14ac:dyDescent="0.25">
      <c r="F730">
        <v>7.29</v>
      </c>
    </row>
    <row r="731" spans="6:6" x14ac:dyDescent="0.25">
      <c r="F731">
        <v>7.3</v>
      </c>
    </row>
    <row r="732" spans="6:6" x14ac:dyDescent="0.25">
      <c r="F732">
        <v>7.31</v>
      </c>
    </row>
    <row r="733" spans="6:6" x14ac:dyDescent="0.25">
      <c r="F733">
        <v>7.32</v>
      </c>
    </row>
    <row r="734" spans="6:6" x14ac:dyDescent="0.25">
      <c r="F734">
        <v>7.33</v>
      </c>
    </row>
    <row r="735" spans="6:6" x14ac:dyDescent="0.25">
      <c r="F735">
        <v>7.34</v>
      </c>
    </row>
    <row r="736" spans="6:6" x14ac:dyDescent="0.25">
      <c r="F736">
        <v>7.35</v>
      </c>
    </row>
    <row r="737" spans="6:6" x14ac:dyDescent="0.25">
      <c r="F737">
        <v>7.36</v>
      </c>
    </row>
    <row r="738" spans="6:6" x14ac:dyDescent="0.25">
      <c r="F738">
        <v>7.37</v>
      </c>
    </row>
    <row r="739" spans="6:6" x14ac:dyDescent="0.25">
      <c r="F739">
        <v>7.38</v>
      </c>
    </row>
    <row r="740" spans="6:6" x14ac:dyDescent="0.25">
      <c r="F740">
        <v>7.39</v>
      </c>
    </row>
    <row r="741" spans="6:6" x14ac:dyDescent="0.25">
      <c r="F741">
        <v>7.4</v>
      </c>
    </row>
    <row r="742" spans="6:6" x14ac:dyDescent="0.25">
      <c r="F742">
        <v>7.41</v>
      </c>
    </row>
    <row r="743" spans="6:6" x14ac:dyDescent="0.25">
      <c r="F743">
        <v>7.42</v>
      </c>
    </row>
    <row r="744" spans="6:6" x14ac:dyDescent="0.25">
      <c r="F744">
        <v>7.43</v>
      </c>
    </row>
    <row r="745" spans="6:6" x14ac:dyDescent="0.25">
      <c r="F745">
        <v>7.44</v>
      </c>
    </row>
    <row r="746" spans="6:6" x14ac:dyDescent="0.25">
      <c r="F746">
        <v>7.45</v>
      </c>
    </row>
    <row r="747" spans="6:6" x14ac:dyDescent="0.25">
      <c r="F747">
        <v>7.46</v>
      </c>
    </row>
    <row r="748" spans="6:6" x14ac:dyDescent="0.25">
      <c r="F748">
        <v>7.47</v>
      </c>
    </row>
    <row r="749" spans="6:6" x14ac:dyDescent="0.25">
      <c r="F749">
        <v>7.48</v>
      </c>
    </row>
    <row r="750" spans="6:6" x14ac:dyDescent="0.25">
      <c r="F750">
        <v>7.49</v>
      </c>
    </row>
    <row r="751" spans="6:6" x14ac:dyDescent="0.25">
      <c r="F751">
        <v>7.5</v>
      </c>
    </row>
    <row r="752" spans="6:6" x14ac:dyDescent="0.25">
      <c r="F752">
        <v>7.51</v>
      </c>
    </row>
    <row r="753" spans="6:6" x14ac:dyDescent="0.25">
      <c r="F753">
        <v>7.52</v>
      </c>
    </row>
    <row r="754" spans="6:6" x14ac:dyDescent="0.25">
      <c r="F754">
        <v>7.53</v>
      </c>
    </row>
    <row r="755" spans="6:6" x14ac:dyDescent="0.25">
      <c r="F755">
        <v>7.54</v>
      </c>
    </row>
    <row r="756" spans="6:6" x14ac:dyDescent="0.25">
      <c r="F756">
        <v>7.55</v>
      </c>
    </row>
    <row r="757" spans="6:6" x14ac:dyDescent="0.25">
      <c r="F757">
        <v>7.56</v>
      </c>
    </row>
    <row r="758" spans="6:6" x14ac:dyDescent="0.25">
      <c r="F758">
        <v>7.57</v>
      </c>
    </row>
    <row r="759" spans="6:6" x14ac:dyDescent="0.25">
      <c r="F759">
        <v>7.58</v>
      </c>
    </row>
    <row r="760" spans="6:6" x14ac:dyDescent="0.25">
      <c r="F760">
        <v>7.59</v>
      </c>
    </row>
    <row r="761" spans="6:6" x14ac:dyDescent="0.25">
      <c r="F761">
        <v>7.6</v>
      </c>
    </row>
    <row r="762" spans="6:6" x14ac:dyDescent="0.25">
      <c r="F762">
        <v>7.61</v>
      </c>
    </row>
    <row r="763" spans="6:6" x14ac:dyDescent="0.25">
      <c r="F763">
        <v>7.62</v>
      </c>
    </row>
    <row r="764" spans="6:6" x14ac:dyDescent="0.25">
      <c r="F764">
        <v>7.63</v>
      </c>
    </row>
    <row r="765" spans="6:6" x14ac:dyDescent="0.25">
      <c r="F765">
        <v>7.64</v>
      </c>
    </row>
    <row r="766" spans="6:6" x14ac:dyDescent="0.25">
      <c r="F766">
        <v>7.65</v>
      </c>
    </row>
    <row r="767" spans="6:6" x14ac:dyDescent="0.25">
      <c r="F767">
        <v>7.66</v>
      </c>
    </row>
    <row r="768" spans="6:6" x14ac:dyDescent="0.25">
      <c r="F768">
        <v>7.67</v>
      </c>
    </row>
    <row r="769" spans="6:6" x14ac:dyDescent="0.25">
      <c r="F769">
        <v>7.68</v>
      </c>
    </row>
    <row r="770" spans="6:6" x14ac:dyDescent="0.25">
      <c r="F770">
        <v>7.69</v>
      </c>
    </row>
    <row r="771" spans="6:6" x14ac:dyDescent="0.25">
      <c r="F771">
        <v>7.7</v>
      </c>
    </row>
    <row r="772" spans="6:6" x14ac:dyDescent="0.25">
      <c r="F772">
        <v>7.71</v>
      </c>
    </row>
    <row r="773" spans="6:6" x14ac:dyDescent="0.25">
      <c r="F773">
        <v>7.72</v>
      </c>
    </row>
    <row r="774" spans="6:6" x14ac:dyDescent="0.25">
      <c r="F774">
        <v>7.73</v>
      </c>
    </row>
    <row r="775" spans="6:6" x14ac:dyDescent="0.25">
      <c r="F775">
        <v>7.74</v>
      </c>
    </row>
    <row r="776" spans="6:6" x14ac:dyDescent="0.25">
      <c r="F776">
        <v>7.75</v>
      </c>
    </row>
    <row r="777" spans="6:6" x14ac:dyDescent="0.25">
      <c r="F777">
        <v>7.76</v>
      </c>
    </row>
    <row r="778" spans="6:6" x14ac:dyDescent="0.25">
      <c r="F778">
        <v>7.77</v>
      </c>
    </row>
    <row r="779" spans="6:6" x14ac:dyDescent="0.25">
      <c r="F779">
        <v>7.78</v>
      </c>
    </row>
    <row r="780" spans="6:6" x14ac:dyDescent="0.25">
      <c r="F780">
        <v>7.79</v>
      </c>
    </row>
    <row r="781" spans="6:6" x14ac:dyDescent="0.25">
      <c r="F781">
        <v>7.8</v>
      </c>
    </row>
    <row r="782" spans="6:6" x14ac:dyDescent="0.25">
      <c r="F782">
        <v>7.81</v>
      </c>
    </row>
    <row r="783" spans="6:6" x14ac:dyDescent="0.25">
      <c r="F783">
        <v>7.82</v>
      </c>
    </row>
    <row r="784" spans="6:6" x14ac:dyDescent="0.25">
      <c r="F784">
        <v>7.83</v>
      </c>
    </row>
    <row r="785" spans="6:6" x14ac:dyDescent="0.25">
      <c r="F785">
        <v>7.84</v>
      </c>
    </row>
    <row r="786" spans="6:6" x14ac:dyDescent="0.25">
      <c r="F786">
        <v>7.85</v>
      </c>
    </row>
    <row r="787" spans="6:6" x14ac:dyDescent="0.25">
      <c r="F787">
        <v>7.86</v>
      </c>
    </row>
    <row r="788" spans="6:6" x14ac:dyDescent="0.25">
      <c r="F788">
        <v>7.87</v>
      </c>
    </row>
    <row r="789" spans="6:6" x14ac:dyDescent="0.25">
      <c r="F789">
        <v>7.88</v>
      </c>
    </row>
    <row r="790" spans="6:6" x14ac:dyDescent="0.25">
      <c r="F790">
        <v>7.89</v>
      </c>
    </row>
    <row r="791" spans="6:6" x14ac:dyDescent="0.25">
      <c r="F791">
        <v>7.9</v>
      </c>
    </row>
    <row r="792" spans="6:6" x14ac:dyDescent="0.25">
      <c r="F792">
        <v>7.91</v>
      </c>
    </row>
    <row r="793" spans="6:6" x14ac:dyDescent="0.25">
      <c r="F793">
        <v>7.92</v>
      </c>
    </row>
    <row r="794" spans="6:6" x14ac:dyDescent="0.25">
      <c r="F794">
        <v>7.93</v>
      </c>
    </row>
    <row r="795" spans="6:6" x14ac:dyDescent="0.25">
      <c r="F795">
        <v>7.94</v>
      </c>
    </row>
    <row r="796" spans="6:6" x14ac:dyDescent="0.25">
      <c r="F796">
        <v>7.95</v>
      </c>
    </row>
    <row r="797" spans="6:6" x14ac:dyDescent="0.25">
      <c r="F797">
        <v>7.96</v>
      </c>
    </row>
    <row r="798" spans="6:6" x14ac:dyDescent="0.25">
      <c r="F798">
        <v>7.97</v>
      </c>
    </row>
    <row r="799" spans="6:6" x14ac:dyDescent="0.25">
      <c r="F799">
        <v>7.98</v>
      </c>
    </row>
    <row r="800" spans="6:6" x14ac:dyDescent="0.25">
      <c r="F800">
        <v>7.99</v>
      </c>
    </row>
    <row r="801" spans="6:6" x14ac:dyDescent="0.25">
      <c r="F801">
        <v>8</v>
      </c>
    </row>
    <row r="802" spans="6:6" x14ac:dyDescent="0.25">
      <c r="F802">
        <v>8.01</v>
      </c>
    </row>
    <row r="803" spans="6:6" x14ac:dyDescent="0.25">
      <c r="F803">
        <v>8.02</v>
      </c>
    </row>
    <row r="804" spans="6:6" x14ac:dyDescent="0.25">
      <c r="F804">
        <v>8.0299999999999994</v>
      </c>
    </row>
    <row r="805" spans="6:6" x14ac:dyDescent="0.25">
      <c r="F805">
        <v>8.0399999999999991</v>
      </c>
    </row>
    <row r="806" spans="6:6" x14ac:dyDescent="0.25">
      <c r="F806">
        <v>8.0500000000000007</v>
      </c>
    </row>
    <row r="807" spans="6:6" x14ac:dyDescent="0.25">
      <c r="F807">
        <v>8.06</v>
      </c>
    </row>
    <row r="808" spans="6:6" x14ac:dyDescent="0.25">
      <c r="F808">
        <v>8.07</v>
      </c>
    </row>
    <row r="809" spans="6:6" x14ac:dyDescent="0.25">
      <c r="F809">
        <v>8.08</v>
      </c>
    </row>
    <row r="810" spans="6:6" x14ac:dyDescent="0.25">
      <c r="F810">
        <v>8.09</v>
      </c>
    </row>
    <row r="811" spans="6:6" x14ac:dyDescent="0.25">
      <c r="F811">
        <v>8.1</v>
      </c>
    </row>
    <row r="812" spans="6:6" x14ac:dyDescent="0.25">
      <c r="F812">
        <v>8.11</v>
      </c>
    </row>
    <row r="813" spans="6:6" x14ac:dyDescent="0.25">
      <c r="F813">
        <v>8.1199999999999992</v>
      </c>
    </row>
    <row r="814" spans="6:6" x14ac:dyDescent="0.25">
      <c r="F814">
        <v>8.1300000000000008</v>
      </c>
    </row>
    <row r="815" spans="6:6" x14ac:dyDescent="0.25">
      <c r="F815">
        <v>8.14</v>
      </c>
    </row>
    <row r="816" spans="6:6" x14ac:dyDescent="0.25">
      <c r="F816">
        <v>8.15</v>
      </c>
    </row>
    <row r="817" spans="6:6" x14ac:dyDescent="0.25">
      <c r="F817">
        <v>8.16</v>
      </c>
    </row>
    <row r="818" spans="6:6" x14ac:dyDescent="0.25">
      <c r="F818">
        <v>8.17</v>
      </c>
    </row>
    <row r="819" spans="6:6" x14ac:dyDescent="0.25">
      <c r="F819">
        <v>8.18</v>
      </c>
    </row>
    <row r="820" spans="6:6" x14ac:dyDescent="0.25">
      <c r="F820">
        <v>8.19</v>
      </c>
    </row>
    <row r="821" spans="6:6" x14ac:dyDescent="0.25">
      <c r="F821">
        <v>8.1999999999999993</v>
      </c>
    </row>
    <row r="822" spans="6:6" x14ac:dyDescent="0.25">
      <c r="F822">
        <v>8.2100000000000009</v>
      </c>
    </row>
    <row r="823" spans="6:6" x14ac:dyDescent="0.25">
      <c r="F823">
        <v>8.2200000000000006</v>
      </c>
    </row>
    <row r="824" spans="6:6" x14ac:dyDescent="0.25">
      <c r="F824">
        <v>8.23</v>
      </c>
    </row>
    <row r="825" spans="6:6" x14ac:dyDescent="0.25">
      <c r="F825">
        <v>8.24</v>
      </c>
    </row>
    <row r="826" spans="6:6" x14ac:dyDescent="0.25">
      <c r="F826">
        <v>8.25</v>
      </c>
    </row>
    <row r="827" spans="6:6" x14ac:dyDescent="0.25">
      <c r="F827">
        <v>8.26</v>
      </c>
    </row>
    <row r="828" spans="6:6" x14ac:dyDescent="0.25">
      <c r="F828">
        <v>8.27</v>
      </c>
    </row>
    <row r="829" spans="6:6" x14ac:dyDescent="0.25">
      <c r="F829">
        <v>8.2799999999999994</v>
      </c>
    </row>
    <row r="830" spans="6:6" x14ac:dyDescent="0.25">
      <c r="F830">
        <v>8.2899999999999991</v>
      </c>
    </row>
    <row r="831" spans="6:6" x14ac:dyDescent="0.25">
      <c r="F831">
        <v>8.3000000000000007</v>
      </c>
    </row>
    <row r="832" spans="6:6" x14ac:dyDescent="0.25">
      <c r="F832">
        <v>8.31</v>
      </c>
    </row>
    <row r="833" spans="6:6" x14ac:dyDescent="0.25">
      <c r="F833">
        <v>8.32</v>
      </c>
    </row>
    <row r="834" spans="6:6" x14ac:dyDescent="0.25">
      <c r="F834">
        <v>8.33</v>
      </c>
    </row>
    <row r="835" spans="6:6" x14ac:dyDescent="0.25">
      <c r="F835">
        <v>8.34</v>
      </c>
    </row>
    <row r="836" spans="6:6" x14ac:dyDescent="0.25">
      <c r="F836">
        <v>8.35</v>
      </c>
    </row>
    <row r="837" spans="6:6" x14ac:dyDescent="0.25">
      <c r="F837">
        <v>8.36</v>
      </c>
    </row>
    <row r="838" spans="6:6" x14ac:dyDescent="0.25">
      <c r="F838">
        <v>8.3699999999999992</v>
      </c>
    </row>
    <row r="839" spans="6:6" x14ac:dyDescent="0.25">
      <c r="F839">
        <v>8.3800000000000008</v>
      </c>
    </row>
    <row r="840" spans="6:6" x14ac:dyDescent="0.25">
      <c r="F840">
        <v>8.39</v>
      </c>
    </row>
    <row r="841" spans="6:6" x14ac:dyDescent="0.25">
      <c r="F841">
        <v>8.4</v>
      </c>
    </row>
    <row r="842" spans="6:6" x14ac:dyDescent="0.25">
      <c r="F842">
        <v>8.41</v>
      </c>
    </row>
    <row r="843" spans="6:6" x14ac:dyDescent="0.25">
      <c r="F843">
        <v>8.42</v>
      </c>
    </row>
    <row r="844" spans="6:6" x14ac:dyDescent="0.25">
      <c r="F844">
        <v>8.43</v>
      </c>
    </row>
    <row r="845" spans="6:6" x14ac:dyDescent="0.25">
      <c r="F845">
        <v>8.44</v>
      </c>
    </row>
    <row r="846" spans="6:6" x14ac:dyDescent="0.25">
      <c r="F846">
        <v>8.4499999999999993</v>
      </c>
    </row>
    <row r="847" spans="6:6" x14ac:dyDescent="0.25">
      <c r="F847">
        <v>8.4600000000000009</v>
      </c>
    </row>
    <row r="848" spans="6:6" x14ac:dyDescent="0.25">
      <c r="F848">
        <v>8.4700000000000006</v>
      </c>
    </row>
    <row r="849" spans="6:6" x14ac:dyDescent="0.25">
      <c r="F849">
        <v>8.48</v>
      </c>
    </row>
    <row r="850" spans="6:6" x14ac:dyDescent="0.25">
      <c r="F850">
        <v>8.49</v>
      </c>
    </row>
    <row r="851" spans="6:6" x14ac:dyDescent="0.25">
      <c r="F851">
        <v>8.5</v>
      </c>
    </row>
    <row r="852" spans="6:6" x14ac:dyDescent="0.25">
      <c r="F852">
        <v>8.51</v>
      </c>
    </row>
    <row r="853" spans="6:6" x14ac:dyDescent="0.25">
      <c r="F853">
        <v>8.52</v>
      </c>
    </row>
    <row r="854" spans="6:6" x14ac:dyDescent="0.25">
      <c r="F854">
        <v>8.5299999999999994</v>
      </c>
    </row>
    <row r="855" spans="6:6" x14ac:dyDescent="0.25">
      <c r="F855">
        <v>8.5399999999999991</v>
      </c>
    </row>
    <row r="856" spans="6:6" x14ac:dyDescent="0.25">
      <c r="F856">
        <v>8.5500000000000007</v>
      </c>
    </row>
    <row r="857" spans="6:6" x14ac:dyDescent="0.25">
      <c r="F857">
        <v>8.56</v>
      </c>
    </row>
    <row r="858" spans="6:6" x14ac:dyDescent="0.25">
      <c r="F858">
        <v>8.57</v>
      </c>
    </row>
    <row r="859" spans="6:6" x14ac:dyDescent="0.25">
      <c r="F859">
        <v>8.58</v>
      </c>
    </row>
    <row r="860" spans="6:6" x14ac:dyDescent="0.25">
      <c r="F860">
        <v>8.59</v>
      </c>
    </row>
    <row r="861" spans="6:6" x14ac:dyDescent="0.25">
      <c r="F861">
        <v>8.6</v>
      </c>
    </row>
    <row r="862" spans="6:6" x14ac:dyDescent="0.25">
      <c r="F862">
        <v>8.61</v>
      </c>
    </row>
    <row r="863" spans="6:6" x14ac:dyDescent="0.25">
      <c r="F863">
        <v>8.6199999999999992</v>
      </c>
    </row>
    <row r="864" spans="6:6" x14ac:dyDescent="0.25">
      <c r="F864">
        <v>8.6300000000000008</v>
      </c>
    </row>
    <row r="865" spans="6:6" x14ac:dyDescent="0.25">
      <c r="F865">
        <v>8.64</v>
      </c>
    </row>
    <row r="866" spans="6:6" x14ac:dyDescent="0.25">
      <c r="F866">
        <v>8.65</v>
      </c>
    </row>
    <row r="867" spans="6:6" x14ac:dyDescent="0.25">
      <c r="F867">
        <v>8.66</v>
      </c>
    </row>
    <row r="868" spans="6:6" x14ac:dyDescent="0.25">
      <c r="F868">
        <v>8.67</v>
      </c>
    </row>
    <row r="869" spans="6:6" x14ac:dyDescent="0.25">
      <c r="F869">
        <v>8.68</v>
      </c>
    </row>
    <row r="870" spans="6:6" x14ac:dyDescent="0.25">
      <c r="F870">
        <v>8.69</v>
      </c>
    </row>
    <row r="871" spans="6:6" x14ac:dyDescent="0.25">
      <c r="F871">
        <v>8.6999999999999993</v>
      </c>
    </row>
    <row r="872" spans="6:6" x14ac:dyDescent="0.25">
      <c r="F872">
        <v>8.7100000000000009</v>
      </c>
    </row>
    <row r="873" spans="6:6" x14ac:dyDescent="0.25">
      <c r="F873">
        <v>8.7200000000000006</v>
      </c>
    </row>
    <row r="874" spans="6:6" x14ac:dyDescent="0.25">
      <c r="F874">
        <v>8.73</v>
      </c>
    </row>
    <row r="875" spans="6:6" x14ac:dyDescent="0.25">
      <c r="F875">
        <v>8.74</v>
      </c>
    </row>
    <row r="876" spans="6:6" x14ac:dyDescent="0.25">
      <c r="F876">
        <v>8.75</v>
      </c>
    </row>
    <row r="877" spans="6:6" x14ac:dyDescent="0.25">
      <c r="F877">
        <v>8.76</v>
      </c>
    </row>
    <row r="878" spans="6:6" x14ac:dyDescent="0.25">
      <c r="F878">
        <v>8.77</v>
      </c>
    </row>
    <row r="879" spans="6:6" x14ac:dyDescent="0.25">
      <c r="F879">
        <v>8.7799999999999994</v>
      </c>
    </row>
    <row r="880" spans="6:6" x14ac:dyDescent="0.25">
      <c r="F880">
        <v>8.7899999999999991</v>
      </c>
    </row>
    <row r="881" spans="6:6" x14ac:dyDescent="0.25">
      <c r="F881">
        <v>8.8000000000000007</v>
      </c>
    </row>
    <row r="882" spans="6:6" x14ac:dyDescent="0.25">
      <c r="F882">
        <v>8.81</v>
      </c>
    </row>
    <row r="883" spans="6:6" x14ac:dyDescent="0.25">
      <c r="F883">
        <v>8.82</v>
      </c>
    </row>
    <row r="884" spans="6:6" x14ac:dyDescent="0.25">
      <c r="F884">
        <v>8.83</v>
      </c>
    </row>
    <row r="885" spans="6:6" x14ac:dyDescent="0.25">
      <c r="F885">
        <v>8.84</v>
      </c>
    </row>
    <row r="886" spans="6:6" x14ac:dyDescent="0.25">
      <c r="F886">
        <v>8.85</v>
      </c>
    </row>
    <row r="887" spans="6:6" x14ac:dyDescent="0.25">
      <c r="F887">
        <v>8.86</v>
      </c>
    </row>
    <row r="888" spans="6:6" x14ac:dyDescent="0.25">
      <c r="F888">
        <v>8.8699999999999992</v>
      </c>
    </row>
    <row r="889" spans="6:6" x14ac:dyDescent="0.25">
      <c r="F889">
        <v>8.8800000000000008</v>
      </c>
    </row>
    <row r="890" spans="6:6" x14ac:dyDescent="0.25">
      <c r="F890">
        <v>8.89</v>
      </c>
    </row>
    <row r="891" spans="6:6" x14ac:dyDescent="0.25">
      <c r="F891">
        <v>8.9</v>
      </c>
    </row>
    <row r="892" spans="6:6" x14ac:dyDescent="0.25">
      <c r="F892">
        <v>8.91</v>
      </c>
    </row>
    <row r="893" spans="6:6" x14ac:dyDescent="0.25">
      <c r="F893">
        <v>8.92</v>
      </c>
    </row>
    <row r="894" spans="6:6" x14ac:dyDescent="0.25">
      <c r="F894">
        <v>8.93</v>
      </c>
    </row>
    <row r="895" spans="6:6" x14ac:dyDescent="0.25">
      <c r="F895">
        <v>8.94</v>
      </c>
    </row>
    <row r="896" spans="6:6" x14ac:dyDescent="0.25">
      <c r="F896">
        <v>8.9499999999999993</v>
      </c>
    </row>
    <row r="897" spans="6:6" x14ac:dyDescent="0.25">
      <c r="F897">
        <v>8.9600000000000009</v>
      </c>
    </row>
    <row r="898" spans="6:6" x14ac:dyDescent="0.25">
      <c r="F898">
        <v>8.9700000000000006</v>
      </c>
    </row>
    <row r="899" spans="6:6" x14ac:dyDescent="0.25">
      <c r="F899">
        <v>8.98</v>
      </c>
    </row>
    <row r="900" spans="6:6" x14ac:dyDescent="0.25">
      <c r="F900">
        <v>8.99</v>
      </c>
    </row>
    <row r="901" spans="6:6" x14ac:dyDescent="0.25">
      <c r="F901">
        <v>9</v>
      </c>
    </row>
    <row r="902" spans="6:6" x14ac:dyDescent="0.25">
      <c r="F902">
        <v>9.01</v>
      </c>
    </row>
    <row r="903" spans="6:6" x14ac:dyDescent="0.25">
      <c r="F903">
        <v>9.02</v>
      </c>
    </row>
    <row r="904" spans="6:6" x14ac:dyDescent="0.25">
      <c r="F904">
        <v>9.0299999999999994</v>
      </c>
    </row>
    <row r="905" spans="6:6" x14ac:dyDescent="0.25">
      <c r="F905">
        <v>9.0399999999999991</v>
      </c>
    </row>
    <row r="906" spans="6:6" x14ac:dyDescent="0.25">
      <c r="F906">
        <v>9.0500000000000007</v>
      </c>
    </row>
    <row r="907" spans="6:6" x14ac:dyDescent="0.25">
      <c r="F907">
        <v>9.06</v>
      </c>
    </row>
    <row r="908" spans="6:6" x14ac:dyDescent="0.25">
      <c r="F908">
        <v>9.07</v>
      </c>
    </row>
    <row r="909" spans="6:6" x14ac:dyDescent="0.25">
      <c r="F909">
        <v>9.08</v>
      </c>
    </row>
    <row r="910" spans="6:6" x14ac:dyDescent="0.25">
      <c r="F910">
        <v>9.09</v>
      </c>
    </row>
    <row r="911" spans="6:6" x14ac:dyDescent="0.25">
      <c r="F911">
        <v>9.1</v>
      </c>
    </row>
    <row r="912" spans="6:6" x14ac:dyDescent="0.25">
      <c r="F912">
        <v>9.11</v>
      </c>
    </row>
    <row r="913" spans="6:6" x14ac:dyDescent="0.25">
      <c r="F913">
        <v>9.1199999999999992</v>
      </c>
    </row>
    <row r="914" spans="6:6" x14ac:dyDescent="0.25">
      <c r="F914">
        <v>9.1300000000000008</v>
      </c>
    </row>
    <row r="915" spans="6:6" x14ac:dyDescent="0.25">
      <c r="F915">
        <v>9.14</v>
      </c>
    </row>
    <row r="916" spans="6:6" x14ac:dyDescent="0.25">
      <c r="F916">
        <v>9.15</v>
      </c>
    </row>
    <row r="917" spans="6:6" x14ac:dyDescent="0.25">
      <c r="F917">
        <v>9.16</v>
      </c>
    </row>
    <row r="918" spans="6:6" x14ac:dyDescent="0.25">
      <c r="F918">
        <v>9.17</v>
      </c>
    </row>
    <row r="919" spans="6:6" x14ac:dyDescent="0.25">
      <c r="F919">
        <v>9.18</v>
      </c>
    </row>
    <row r="920" spans="6:6" x14ac:dyDescent="0.25">
      <c r="F920">
        <v>9.19</v>
      </c>
    </row>
    <row r="921" spans="6:6" x14ac:dyDescent="0.25">
      <c r="F921">
        <v>9.1999999999999993</v>
      </c>
    </row>
    <row r="922" spans="6:6" x14ac:dyDescent="0.25">
      <c r="F922">
        <v>9.2100000000000009</v>
      </c>
    </row>
    <row r="923" spans="6:6" x14ac:dyDescent="0.25">
      <c r="F923">
        <v>9.2200000000000006</v>
      </c>
    </row>
    <row r="924" spans="6:6" x14ac:dyDescent="0.25">
      <c r="F924">
        <v>9.23</v>
      </c>
    </row>
    <row r="925" spans="6:6" x14ac:dyDescent="0.25">
      <c r="F925">
        <v>9.24</v>
      </c>
    </row>
    <row r="926" spans="6:6" x14ac:dyDescent="0.25">
      <c r="F926">
        <v>9.25</v>
      </c>
    </row>
    <row r="927" spans="6:6" x14ac:dyDescent="0.25">
      <c r="F927">
        <v>9.26</v>
      </c>
    </row>
    <row r="928" spans="6:6" x14ac:dyDescent="0.25">
      <c r="F928">
        <v>9.27</v>
      </c>
    </row>
    <row r="929" spans="6:6" x14ac:dyDescent="0.25">
      <c r="F929">
        <v>9.2799999999999994</v>
      </c>
    </row>
    <row r="930" spans="6:6" x14ac:dyDescent="0.25">
      <c r="F930">
        <v>9.2899999999999991</v>
      </c>
    </row>
    <row r="931" spans="6:6" x14ac:dyDescent="0.25">
      <c r="F931">
        <v>9.3000000000000007</v>
      </c>
    </row>
    <row r="932" spans="6:6" x14ac:dyDescent="0.25">
      <c r="F932">
        <v>9.31</v>
      </c>
    </row>
    <row r="933" spans="6:6" x14ac:dyDescent="0.25">
      <c r="F933">
        <v>9.32</v>
      </c>
    </row>
    <row r="934" spans="6:6" x14ac:dyDescent="0.25">
      <c r="F934">
        <v>9.33</v>
      </c>
    </row>
    <row r="935" spans="6:6" x14ac:dyDescent="0.25">
      <c r="F935">
        <v>9.34</v>
      </c>
    </row>
    <row r="936" spans="6:6" x14ac:dyDescent="0.25">
      <c r="F936">
        <v>9.35</v>
      </c>
    </row>
    <row r="937" spans="6:6" x14ac:dyDescent="0.25">
      <c r="F937">
        <v>9.36</v>
      </c>
    </row>
    <row r="938" spans="6:6" x14ac:dyDescent="0.25">
      <c r="F938">
        <v>9.3699999999999992</v>
      </c>
    </row>
    <row r="939" spans="6:6" x14ac:dyDescent="0.25">
      <c r="F939">
        <v>9.3800000000000008</v>
      </c>
    </row>
    <row r="940" spans="6:6" x14ac:dyDescent="0.25">
      <c r="F940">
        <v>9.39</v>
      </c>
    </row>
    <row r="941" spans="6:6" x14ac:dyDescent="0.25">
      <c r="F941">
        <v>9.4</v>
      </c>
    </row>
    <row r="942" spans="6:6" x14ac:dyDescent="0.25">
      <c r="F942">
        <v>9.41</v>
      </c>
    </row>
    <row r="943" spans="6:6" x14ac:dyDescent="0.25">
      <c r="F943">
        <v>9.42</v>
      </c>
    </row>
    <row r="944" spans="6:6" x14ac:dyDescent="0.25">
      <c r="F944">
        <v>9.43</v>
      </c>
    </row>
    <row r="945" spans="6:6" x14ac:dyDescent="0.25">
      <c r="F945">
        <v>9.44</v>
      </c>
    </row>
    <row r="946" spans="6:6" x14ac:dyDescent="0.25">
      <c r="F946">
        <v>9.4499999999999993</v>
      </c>
    </row>
    <row r="947" spans="6:6" x14ac:dyDescent="0.25">
      <c r="F947">
        <v>9.4600000000000009</v>
      </c>
    </row>
    <row r="948" spans="6:6" x14ac:dyDescent="0.25">
      <c r="F948">
        <v>9.4700000000000006</v>
      </c>
    </row>
    <row r="949" spans="6:6" x14ac:dyDescent="0.25">
      <c r="F949">
        <v>9.48</v>
      </c>
    </row>
    <row r="950" spans="6:6" x14ac:dyDescent="0.25">
      <c r="F950">
        <v>9.49</v>
      </c>
    </row>
    <row r="951" spans="6:6" x14ac:dyDescent="0.25">
      <c r="F951">
        <v>9.5</v>
      </c>
    </row>
    <row r="952" spans="6:6" x14ac:dyDescent="0.25">
      <c r="F952">
        <v>9.51</v>
      </c>
    </row>
    <row r="953" spans="6:6" x14ac:dyDescent="0.25">
      <c r="F953">
        <v>9.52</v>
      </c>
    </row>
    <row r="954" spans="6:6" x14ac:dyDescent="0.25">
      <c r="F954">
        <v>9.5299999999999994</v>
      </c>
    </row>
    <row r="955" spans="6:6" x14ac:dyDescent="0.25">
      <c r="F955">
        <v>9.5399999999999991</v>
      </c>
    </row>
    <row r="956" spans="6:6" x14ac:dyDescent="0.25">
      <c r="F956">
        <v>9.5500000000000007</v>
      </c>
    </row>
    <row r="957" spans="6:6" x14ac:dyDescent="0.25">
      <c r="F957">
        <v>9.56</v>
      </c>
    </row>
    <row r="958" spans="6:6" x14ac:dyDescent="0.25">
      <c r="F958">
        <v>9.57</v>
      </c>
    </row>
    <row r="959" spans="6:6" x14ac:dyDescent="0.25">
      <c r="F959">
        <v>9.58</v>
      </c>
    </row>
    <row r="960" spans="6:6" x14ac:dyDescent="0.25">
      <c r="F960">
        <v>9.59</v>
      </c>
    </row>
    <row r="961" spans="6:6" x14ac:dyDescent="0.25">
      <c r="F961">
        <v>9.6</v>
      </c>
    </row>
    <row r="962" spans="6:6" x14ac:dyDescent="0.25">
      <c r="F962">
        <v>9.61</v>
      </c>
    </row>
    <row r="963" spans="6:6" x14ac:dyDescent="0.25">
      <c r="F963">
        <v>9.6199999999999992</v>
      </c>
    </row>
    <row r="964" spans="6:6" x14ac:dyDescent="0.25">
      <c r="F964">
        <v>9.6300000000000008</v>
      </c>
    </row>
    <row r="965" spans="6:6" x14ac:dyDescent="0.25">
      <c r="F965">
        <v>9.64</v>
      </c>
    </row>
    <row r="966" spans="6:6" x14ac:dyDescent="0.25">
      <c r="F966">
        <v>9.65</v>
      </c>
    </row>
    <row r="967" spans="6:6" x14ac:dyDescent="0.25">
      <c r="F967">
        <v>9.66</v>
      </c>
    </row>
    <row r="968" spans="6:6" x14ac:dyDescent="0.25">
      <c r="F968">
        <v>9.67</v>
      </c>
    </row>
    <row r="969" spans="6:6" x14ac:dyDescent="0.25">
      <c r="F969">
        <v>9.68</v>
      </c>
    </row>
    <row r="970" spans="6:6" x14ac:dyDescent="0.25">
      <c r="F970">
        <v>9.69</v>
      </c>
    </row>
    <row r="971" spans="6:6" x14ac:dyDescent="0.25">
      <c r="F971">
        <v>9.6999999999999993</v>
      </c>
    </row>
    <row r="972" spans="6:6" x14ac:dyDescent="0.25">
      <c r="F972">
        <v>9.7100000000000009</v>
      </c>
    </row>
    <row r="973" spans="6:6" x14ac:dyDescent="0.25">
      <c r="F973">
        <v>9.7200000000000006</v>
      </c>
    </row>
    <row r="974" spans="6:6" x14ac:dyDescent="0.25">
      <c r="F974">
        <v>9.73</v>
      </c>
    </row>
    <row r="975" spans="6:6" x14ac:dyDescent="0.25">
      <c r="F975">
        <v>9.74</v>
      </c>
    </row>
    <row r="976" spans="6:6" x14ac:dyDescent="0.25">
      <c r="F976">
        <v>9.75</v>
      </c>
    </row>
    <row r="977" spans="6:6" x14ac:dyDescent="0.25">
      <c r="F977">
        <v>9.76</v>
      </c>
    </row>
    <row r="978" spans="6:6" x14ac:dyDescent="0.25">
      <c r="F978">
        <v>9.77</v>
      </c>
    </row>
    <row r="979" spans="6:6" x14ac:dyDescent="0.25">
      <c r="F979">
        <v>9.7799999999999994</v>
      </c>
    </row>
    <row r="980" spans="6:6" x14ac:dyDescent="0.25">
      <c r="F980">
        <v>9.7899999999999991</v>
      </c>
    </row>
    <row r="981" spans="6:6" x14ac:dyDescent="0.25">
      <c r="F981">
        <v>9.8000000000000007</v>
      </c>
    </row>
    <row r="982" spans="6:6" x14ac:dyDescent="0.25">
      <c r="F982">
        <v>9.81</v>
      </c>
    </row>
    <row r="983" spans="6:6" x14ac:dyDescent="0.25">
      <c r="F983">
        <v>9.82</v>
      </c>
    </row>
    <row r="984" spans="6:6" x14ac:dyDescent="0.25">
      <c r="F984">
        <v>9.83</v>
      </c>
    </row>
    <row r="985" spans="6:6" x14ac:dyDescent="0.25">
      <c r="F985">
        <v>9.84</v>
      </c>
    </row>
    <row r="986" spans="6:6" x14ac:dyDescent="0.25">
      <c r="F986">
        <v>9.85</v>
      </c>
    </row>
    <row r="987" spans="6:6" x14ac:dyDescent="0.25">
      <c r="F987">
        <v>9.86</v>
      </c>
    </row>
    <row r="988" spans="6:6" x14ac:dyDescent="0.25">
      <c r="F988">
        <v>9.8699999999999992</v>
      </c>
    </row>
    <row r="989" spans="6:6" x14ac:dyDescent="0.25">
      <c r="F989">
        <v>9.8800000000000008</v>
      </c>
    </row>
    <row r="990" spans="6:6" x14ac:dyDescent="0.25">
      <c r="F990">
        <v>9.89</v>
      </c>
    </row>
    <row r="991" spans="6:6" x14ac:dyDescent="0.25">
      <c r="F991">
        <v>9.9</v>
      </c>
    </row>
    <row r="992" spans="6:6" x14ac:dyDescent="0.25">
      <c r="F992">
        <v>9.91</v>
      </c>
    </row>
    <row r="993" spans="6:6" x14ac:dyDescent="0.25">
      <c r="F993">
        <v>9.92</v>
      </c>
    </row>
    <row r="994" spans="6:6" x14ac:dyDescent="0.25">
      <c r="F994">
        <v>9.93</v>
      </c>
    </row>
    <row r="995" spans="6:6" x14ac:dyDescent="0.25">
      <c r="F995">
        <v>9.94</v>
      </c>
    </row>
    <row r="996" spans="6:6" x14ac:dyDescent="0.25">
      <c r="F996">
        <v>9.9499999999999993</v>
      </c>
    </row>
    <row r="997" spans="6:6" x14ac:dyDescent="0.25">
      <c r="F997">
        <v>9.9600000000000009</v>
      </c>
    </row>
    <row r="998" spans="6:6" x14ac:dyDescent="0.25">
      <c r="F998">
        <v>9.9700000000000006</v>
      </c>
    </row>
    <row r="999" spans="6:6" x14ac:dyDescent="0.25">
      <c r="F999">
        <v>9.98</v>
      </c>
    </row>
    <row r="1000" spans="6:6" x14ac:dyDescent="0.25">
      <c r="F1000">
        <v>9.99</v>
      </c>
    </row>
    <row r="1001" spans="6:6" x14ac:dyDescent="0.25">
      <c r="F1001">
        <v>10</v>
      </c>
    </row>
  </sheetData>
  <sheetProtection algorithmName="SHA-512" hashValue="Gi30BMjQJE0G4pSBClTZhPTp7NT7yrdkPCrzKficj+v5Uk396ZFr1xJoLFfW6gBC8OMFlYO3414QBvF5qmI1GQ==" saltValue="zex2JSurKH5Xl/5/PoEh6Q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118</vt:i4>
      </vt:variant>
    </vt:vector>
  </HeadingPairs>
  <TitlesOfParts>
    <vt:vector size="123" baseType="lpstr">
      <vt:lpstr>Spāru aprēķins</vt:lpstr>
      <vt:lpstr>sparem_matematika</vt:lpstr>
      <vt:lpstr>Pārseguma siju aprēķins</vt:lpstr>
      <vt:lpstr>sijam_matematika</vt:lpstr>
      <vt:lpstr>Dati</vt:lpstr>
      <vt:lpstr>_kc90</vt:lpstr>
      <vt:lpstr>_psi2</vt:lpstr>
      <vt:lpstr>a</vt:lpstr>
      <vt:lpstr>aef</vt:lpstr>
      <vt:lpstr>al</vt:lpstr>
      <vt:lpstr>alg</vt:lpstr>
      <vt:lpstr>As</vt:lpstr>
      <vt:lpstr>b</vt:lpstr>
      <vt:lpstr>cc</vt:lpstr>
      <vt:lpstr>ck</vt:lpstr>
      <vt:lpstr>co</vt:lpstr>
      <vt:lpstr>E_05</vt:lpstr>
      <vt:lpstr>Emean</vt:lpstr>
      <vt:lpstr>fc0d</vt:lpstr>
      <vt:lpstr>fc0k</vt:lpstr>
      <vt:lpstr>fc90d</vt:lpstr>
      <vt:lpstr>fc90k</vt:lpstr>
      <vt:lpstr>fmds</vt:lpstr>
      <vt:lpstr>fmdw</vt:lpstr>
      <vt:lpstr>fmk</vt:lpstr>
      <vt:lpstr>fvds</vt:lpstr>
      <vt:lpstr>fvdw</vt:lpstr>
      <vt:lpstr>fvk</vt:lpstr>
      <vt:lpstr>gd</vt:lpstr>
      <vt:lpstr>gd_90</vt:lpstr>
      <vt:lpstr>gd0</vt:lpstr>
      <vt:lpstr>gfg</vt:lpstr>
      <vt:lpstr>gfmin</vt:lpstr>
      <vt:lpstr>gfs</vt:lpstr>
      <vt:lpstr>gjk</vt:lpstr>
      <vt:lpstr>gk</vt:lpstr>
      <vt:lpstr>gk_90</vt:lpstr>
      <vt:lpstr>gko</vt:lpstr>
      <vt:lpstr>gM</vt:lpstr>
      <vt:lpstr>gsk</vt:lpstr>
      <vt:lpstr>h</vt:lpstr>
      <vt:lpstr>hef</vt:lpstr>
      <vt:lpstr>i</vt:lpstr>
      <vt:lpstr>Jo</vt:lpstr>
      <vt:lpstr>Jy</vt:lpstr>
      <vt:lpstr>Jz</vt:lpstr>
      <vt:lpstr>kc90_fc90d</vt:lpstr>
      <vt:lpstr>kcy</vt:lpstr>
      <vt:lpstr>kdef</vt:lpstr>
      <vt:lpstr>kf</vt:lpstr>
      <vt:lpstr>kh</vt:lpstr>
      <vt:lpstr>kmods</vt:lpstr>
      <vt:lpstr>kmodw</vt:lpstr>
      <vt:lpstr>kn</vt:lpstr>
      <vt:lpstr>kv</vt:lpstr>
      <vt:lpstr>ky</vt:lpstr>
      <vt:lpstr>L</vt:lpstr>
      <vt:lpstr>lb</vt:lpstr>
      <vt:lpstr>lefy</vt:lpstr>
      <vt:lpstr>lmy</vt:lpstr>
      <vt:lpstr>Lo</vt:lpstr>
      <vt:lpstr>lrely</vt:lpstr>
      <vt:lpstr>Mdgc</vt:lpstr>
      <vt:lpstr>MdgL</vt:lpstr>
      <vt:lpstr>Mdgsc</vt:lpstr>
      <vt:lpstr>MdgsL</vt:lpstr>
      <vt:lpstr>Mdgswc</vt:lpstr>
      <vt:lpstr>MdgswL</vt:lpstr>
      <vt:lpstr>Mdgwc</vt:lpstr>
      <vt:lpstr>MdgwL</vt:lpstr>
      <vt:lpstr>Mdgwsc</vt:lpstr>
      <vt:lpstr>MdgwsL</vt:lpstr>
      <vt:lpstr>Mdsc</vt:lpstr>
      <vt:lpstr>MdsL</vt:lpstr>
      <vt:lpstr>Mdwc</vt:lpstr>
      <vt:lpstr>MdwL</vt:lpstr>
      <vt:lpstr>Mdwsc</vt:lpstr>
      <vt:lpstr>MdwsL</vt:lpstr>
      <vt:lpstr>mi</vt:lpstr>
      <vt:lpstr>Nd</vt:lpstr>
      <vt:lpstr>no</vt:lpstr>
      <vt:lpstr>psios</vt:lpstr>
      <vt:lpstr>psiow</vt:lpstr>
      <vt:lpstr>Qdg</vt:lpstr>
      <vt:lpstr>Qdgs</vt:lpstr>
      <vt:lpstr>Qdgsw</vt:lpstr>
      <vt:lpstr>Qdgws</vt:lpstr>
      <vt:lpstr>Qds</vt:lpstr>
      <vt:lpstr>Qdsw</vt:lpstr>
      <vt:lpstr>Qdw</vt:lpstr>
      <vt:lpstr>sc90d</vt:lpstr>
      <vt:lpstr>sd</vt:lpstr>
      <vt:lpstr>sd_90</vt:lpstr>
      <vt:lpstr>sd0</vt:lpstr>
      <vt:lpstr>sk</vt:lpstr>
      <vt:lpstr>sk_90</vt:lpstr>
      <vt:lpstr>smdef</vt:lpstr>
      <vt:lpstr>smdgsc</vt:lpstr>
      <vt:lpstr>smdgsL</vt:lpstr>
      <vt:lpstr>smdgsw</vt:lpstr>
      <vt:lpstr>so</vt:lpstr>
      <vt:lpstr>tds</vt:lpstr>
      <vt:lpstr>tdsw</vt:lpstr>
      <vt:lpstr>uadm</vt:lpstr>
      <vt:lpstr>ufin</vt:lpstr>
      <vt:lpstr>ufing</vt:lpstr>
      <vt:lpstr>ufinq</vt:lpstr>
      <vt:lpstr>uinstg</vt:lpstr>
      <vt:lpstr>uinstq</vt:lpstr>
      <vt:lpstr>Vc</vt:lpstr>
      <vt:lpstr>Vdgmin</vt:lpstr>
      <vt:lpstr>Vdws</vt:lpstr>
      <vt:lpstr>Vsp</vt:lpstr>
      <vt:lpstr>wd</vt:lpstr>
      <vt:lpstr>wds</vt:lpstr>
      <vt:lpstr>wk</vt:lpstr>
      <vt:lpstr>wka</vt:lpstr>
      <vt:lpstr>wks</vt:lpstr>
      <vt:lpstr>wkup</vt:lpstr>
      <vt:lpstr>Wy</vt:lpstr>
      <vt:lpstr>Wyef</vt:lpstr>
      <vt:lpstr>x</vt:lpstr>
      <vt:lpstr>xo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JeyJey</dc:creator>
  <cp:lastModifiedBy>Kristaps</cp:lastModifiedBy>
  <cp:lastPrinted>2013-04-08T19:41:56Z</cp:lastPrinted>
  <dcterms:created xsi:type="dcterms:W3CDTF">2009-02-10T21:02:44Z</dcterms:created>
  <dcterms:modified xsi:type="dcterms:W3CDTF">2017-12-04T12:43:57Z</dcterms:modified>
</cp:coreProperties>
</file>